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filterPrivacy="1" defaultThemeVersion="124226"/>
  <xr:revisionPtr revIDLastSave="0" documentId="8_{0EA25301-5618-9F43-B4CC-558440F77FD1}" xr6:coauthVersionLast="31" xr6:coauthVersionMax="31" xr10:uidLastSave="{00000000-0000-0000-0000-000000000000}"/>
  <bookViews>
    <workbookView xWindow="-2480" yWindow="6140" windowWidth="28800" windowHeight="17460" xr2:uid="{00000000-000D-0000-FFFF-FFFF00000000}"/>
  </bookViews>
  <sheets>
    <sheet name="Specification" sheetId="1" r:id="rId1"/>
    <sheet name="Geometry Plot" sheetId="5" r:id="rId2"/>
    <sheet name="Trajectory ISCS" sheetId="7" r:id="rId3"/>
    <sheet name="Trajectory McStas" sheetId="8" r:id="rId4"/>
    <sheet name="Hilfstabelle_Geometrie" sheetId="2" r:id="rId5"/>
    <sheet name="Coords-Trans" sheetId="4" r:id="rId6"/>
  </sheets>
  <definedNames>
    <definedName name="banglerad">'Coords-Trans'!$K$4</definedName>
    <definedName name="bunkerx">Specification!$AD$33</definedName>
    <definedName name="bunkery">Specification!$AE$33</definedName>
    <definedName name="bunkerz">Specification!$AF$33</definedName>
    <definedName name="bw1x">Specification!$AE$4</definedName>
    <definedName name="bw1y">Specification!$AF$4</definedName>
    <definedName name="bw1z">Specification!$AG$4</definedName>
    <definedName name="bw2x">Specification!$AE$6</definedName>
    <definedName name="bw2y">Specification!$AF$6</definedName>
    <definedName name="bw2z">Specification!$AG$6</definedName>
    <definedName name="bw3z">Specification!$AG$17</definedName>
    <definedName name="eof_bender_z">Specification!$N$65</definedName>
    <definedName name="m1z">Specification!$AG$21</definedName>
    <definedName name="pdx">Specification!$AE$2</definedName>
    <definedName name="pdy">Specification!$AF$2</definedName>
    <definedName name="pdz">Specification!$AG$2</definedName>
    <definedName name="_xlnm.Print_Area" localSheetId="0">Specification!$A$1:$AB$177</definedName>
    <definedName name="ps1z">Specification!$AG$19</definedName>
  </definedNames>
  <calcPr calcId="162913"/>
</workbook>
</file>

<file path=xl/calcChain.xml><?xml version="1.0" encoding="utf-8"?>
<calcChain xmlns="http://schemas.openxmlformats.org/spreadsheetml/2006/main">
  <c r="AD28" i="1" l="1"/>
  <c r="E4" i="1" l="1"/>
  <c r="E5" i="1"/>
  <c r="E6" i="1" s="1"/>
  <c r="E7" i="1" s="1"/>
  <c r="E8" i="1" s="1"/>
  <c r="E9" i="1" s="1"/>
  <c r="E10" i="1" s="1"/>
  <c r="D4" i="1"/>
  <c r="D5" i="1" s="1"/>
  <c r="D6" i="1" s="1"/>
  <c r="D7" i="1" s="1"/>
  <c r="D8" i="1" s="1"/>
  <c r="D9" i="1" s="1"/>
  <c r="D10" i="1" s="1"/>
  <c r="P3" i="1" l="1"/>
  <c r="P4" i="1" s="1"/>
  <c r="P5" i="1" s="1"/>
  <c r="P6" i="1" s="1"/>
  <c r="P7" i="1" s="1"/>
  <c r="P8" i="1" s="1"/>
  <c r="P9" i="1" s="1"/>
  <c r="P10" i="1" s="1"/>
  <c r="K175" i="1" l="1"/>
  <c r="K119" i="1"/>
  <c r="K28" i="1" l="1"/>
  <c r="K20" i="1"/>
  <c r="K3" i="1"/>
  <c r="J3" i="1"/>
  <c r="I3" i="1"/>
  <c r="N3" i="1" l="1"/>
  <c r="K4" i="1" s="1"/>
  <c r="L3" i="1"/>
  <c r="I4" i="1" s="1"/>
  <c r="M3" i="1"/>
  <c r="J4" i="1" s="1"/>
  <c r="M4" i="1" s="1"/>
  <c r="H3" i="1"/>
  <c r="T22" i="4"/>
  <c r="T23" i="4"/>
  <c r="T24" i="4"/>
  <c r="L22" i="4"/>
  <c r="L4" i="1" l="1"/>
  <c r="I5" i="1" s="1"/>
  <c r="N4" i="1"/>
  <c r="K5" i="1" s="1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C188" i="2"/>
  <c r="D188" i="2"/>
  <c r="E188" i="2"/>
  <c r="A160" i="2"/>
  <c r="B160" i="2"/>
  <c r="C160" i="2"/>
  <c r="D160" i="2"/>
  <c r="E160" i="2"/>
  <c r="A162" i="2"/>
  <c r="B162" i="2"/>
  <c r="C162" i="2"/>
  <c r="D162" i="2"/>
  <c r="E162" i="2"/>
  <c r="A164" i="2"/>
  <c r="B164" i="2"/>
  <c r="C164" i="2"/>
  <c r="D164" i="2"/>
  <c r="E164" i="2"/>
  <c r="A166" i="2"/>
  <c r="B166" i="2"/>
  <c r="C166" i="2"/>
  <c r="D166" i="2"/>
  <c r="E166" i="2"/>
  <c r="A168" i="2"/>
  <c r="B168" i="2"/>
  <c r="C168" i="2"/>
  <c r="D168" i="2"/>
  <c r="E168" i="2"/>
  <c r="A10" i="2"/>
  <c r="B10" i="2"/>
  <c r="C10" i="2"/>
  <c r="D10" i="2"/>
  <c r="E10" i="2"/>
  <c r="B11" i="2"/>
  <c r="C11" i="2"/>
  <c r="D11" i="2"/>
  <c r="E11" i="2"/>
  <c r="A12" i="2"/>
  <c r="B12" i="2"/>
  <c r="C12" i="2"/>
  <c r="D12" i="2"/>
  <c r="E12" i="2"/>
  <c r="B13" i="2"/>
  <c r="C13" i="2"/>
  <c r="D13" i="2"/>
  <c r="E13" i="2"/>
  <c r="A14" i="2"/>
  <c r="B14" i="2"/>
  <c r="C14" i="2"/>
  <c r="D14" i="2"/>
  <c r="E14" i="2"/>
  <c r="B15" i="2"/>
  <c r="C15" i="2"/>
  <c r="D15" i="2"/>
  <c r="E15" i="2"/>
  <c r="A16" i="2"/>
  <c r="B16" i="2"/>
  <c r="C16" i="2"/>
  <c r="D16" i="2"/>
  <c r="E16" i="2"/>
  <c r="B17" i="2"/>
  <c r="C17" i="2"/>
  <c r="D17" i="2"/>
  <c r="E17" i="2"/>
  <c r="A18" i="2"/>
  <c r="B18" i="2"/>
  <c r="C18" i="2"/>
  <c r="D18" i="2"/>
  <c r="E18" i="2"/>
  <c r="B19" i="2"/>
  <c r="C19" i="2"/>
  <c r="D19" i="2"/>
  <c r="E19" i="2"/>
  <c r="A20" i="2"/>
  <c r="B20" i="2"/>
  <c r="C20" i="2"/>
  <c r="D20" i="2"/>
  <c r="E20" i="2"/>
  <c r="B21" i="2"/>
  <c r="C21" i="2"/>
  <c r="D21" i="2"/>
  <c r="E21" i="2"/>
  <c r="A22" i="2"/>
  <c r="B22" i="2"/>
  <c r="C22" i="2"/>
  <c r="D22" i="2"/>
  <c r="E22" i="2"/>
  <c r="B23" i="2"/>
  <c r="C23" i="2"/>
  <c r="D23" i="2"/>
  <c r="E23" i="2"/>
  <c r="A24" i="2"/>
  <c r="B24" i="2"/>
  <c r="C24" i="2"/>
  <c r="D24" i="2"/>
  <c r="E24" i="2"/>
  <c r="B25" i="2"/>
  <c r="C25" i="2"/>
  <c r="D25" i="2"/>
  <c r="E25" i="2"/>
  <c r="A26" i="2"/>
  <c r="B26" i="2"/>
  <c r="C26" i="2"/>
  <c r="D26" i="2"/>
  <c r="E26" i="2"/>
  <c r="B27" i="2"/>
  <c r="C27" i="2"/>
  <c r="D27" i="2"/>
  <c r="E27" i="2"/>
  <c r="A28" i="2"/>
  <c r="B28" i="2"/>
  <c r="C28" i="2"/>
  <c r="D28" i="2"/>
  <c r="E28" i="2"/>
  <c r="B29" i="2"/>
  <c r="C29" i="2"/>
  <c r="D29" i="2"/>
  <c r="E29" i="2"/>
  <c r="A30" i="2"/>
  <c r="B30" i="2"/>
  <c r="C30" i="2"/>
  <c r="D30" i="2"/>
  <c r="E30" i="2"/>
  <c r="B31" i="2"/>
  <c r="C31" i="2"/>
  <c r="D31" i="2"/>
  <c r="E31" i="2"/>
  <c r="A32" i="2"/>
  <c r="B32" i="2"/>
  <c r="C32" i="2"/>
  <c r="D32" i="2"/>
  <c r="E32" i="2"/>
  <c r="B33" i="2"/>
  <c r="C33" i="2"/>
  <c r="D33" i="2"/>
  <c r="E33" i="2"/>
  <c r="A34" i="2"/>
  <c r="B34" i="2"/>
  <c r="C34" i="2"/>
  <c r="D34" i="2"/>
  <c r="E34" i="2"/>
  <c r="B35" i="2"/>
  <c r="C35" i="2"/>
  <c r="D35" i="2"/>
  <c r="E35" i="2"/>
  <c r="A36" i="2"/>
  <c r="B36" i="2"/>
  <c r="C36" i="2"/>
  <c r="D36" i="2"/>
  <c r="E36" i="2"/>
  <c r="B37" i="2"/>
  <c r="C37" i="2"/>
  <c r="D37" i="2"/>
  <c r="E37" i="2"/>
  <c r="A38" i="2"/>
  <c r="B38" i="2"/>
  <c r="C38" i="2"/>
  <c r="D38" i="2"/>
  <c r="E38" i="2"/>
  <c r="B39" i="2"/>
  <c r="C39" i="2"/>
  <c r="D39" i="2"/>
  <c r="E39" i="2"/>
  <c r="A40" i="2"/>
  <c r="B40" i="2"/>
  <c r="C40" i="2"/>
  <c r="D40" i="2"/>
  <c r="E40" i="2"/>
  <c r="B41" i="2"/>
  <c r="C41" i="2"/>
  <c r="D41" i="2"/>
  <c r="E41" i="2"/>
  <c r="A42" i="2"/>
  <c r="B42" i="2"/>
  <c r="C42" i="2"/>
  <c r="D42" i="2"/>
  <c r="E42" i="2"/>
  <c r="B43" i="2"/>
  <c r="C43" i="2"/>
  <c r="D43" i="2"/>
  <c r="E43" i="2"/>
  <c r="A44" i="2"/>
  <c r="B44" i="2"/>
  <c r="C44" i="2"/>
  <c r="D44" i="2"/>
  <c r="E44" i="2"/>
  <c r="B45" i="2"/>
  <c r="C45" i="2"/>
  <c r="D45" i="2"/>
  <c r="E45" i="2"/>
  <c r="A46" i="2"/>
  <c r="B46" i="2"/>
  <c r="C46" i="2"/>
  <c r="D46" i="2"/>
  <c r="E46" i="2"/>
  <c r="B47" i="2"/>
  <c r="C47" i="2"/>
  <c r="D47" i="2"/>
  <c r="E47" i="2"/>
  <c r="A48" i="2"/>
  <c r="B48" i="2"/>
  <c r="C48" i="2"/>
  <c r="D48" i="2"/>
  <c r="E48" i="2"/>
  <c r="B49" i="2"/>
  <c r="C49" i="2"/>
  <c r="D49" i="2"/>
  <c r="E49" i="2"/>
  <c r="A50" i="2"/>
  <c r="B50" i="2"/>
  <c r="C50" i="2"/>
  <c r="D50" i="2"/>
  <c r="E50" i="2"/>
  <c r="B51" i="2"/>
  <c r="C51" i="2"/>
  <c r="D51" i="2"/>
  <c r="E51" i="2"/>
  <c r="A52" i="2"/>
  <c r="B52" i="2"/>
  <c r="C52" i="2"/>
  <c r="D52" i="2"/>
  <c r="E52" i="2"/>
  <c r="B53" i="2"/>
  <c r="C53" i="2"/>
  <c r="D53" i="2"/>
  <c r="E53" i="2"/>
  <c r="A54" i="2"/>
  <c r="B54" i="2"/>
  <c r="C54" i="2"/>
  <c r="D54" i="2"/>
  <c r="E54" i="2"/>
  <c r="B55" i="2"/>
  <c r="C55" i="2"/>
  <c r="D55" i="2"/>
  <c r="E55" i="2"/>
  <c r="A56" i="2"/>
  <c r="B56" i="2"/>
  <c r="C56" i="2"/>
  <c r="D56" i="2"/>
  <c r="E56" i="2"/>
  <c r="B57" i="2"/>
  <c r="C57" i="2"/>
  <c r="D57" i="2"/>
  <c r="E57" i="2"/>
  <c r="A58" i="2"/>
  <c r="B58" i="2"/>
  <c r="C58" i="2"/>
  <c r="D58" i="2"/>
  <c r="E58" i="2"/>
  <c r="B59" i="2"/>
  <c r="C59" i="2"/>
  <c r="D59" i="2"/>
  <c r="E59" i="2"/>
  <c r="A60" i="2"/>
  <c r="B60" i="2"/>
  <c r="C60" i="2"/>
  <c r="D60" i="2"/>
  <c r="E60" i="2"/>
  <c r="A62" i="2"/>
  <c r="B62" i="2"/>
  <c r="C62" i="2"/>
  <c r="D62" i="2"/>
  <c r="E62" i="2"/>
  <c r="A64" i="2"/>
  <c r="B64" i="2"/>
  <c r="C64" i="2"/>
  <c r="D64" i="2"/>
  <c r="E64" i="2"/>
  <c r="A66" i="2"/>
  <c r="B66" i="2"/>
  <c r="C66" i="2"/>
  <c r="D66" i="2"/>
  <c r="E66" i="2"/>
  <c r="A68" i="2"/>
  <c r="B68" i="2"/>
  <c r="C68" i="2"/>
  <c r="D68" i="2"/>
  <c r="E68" i="2"/>
  <c r="A70" i="2"/>
  <c r="B70" i="2"/>
  <c r="C70" i="2"/>
  <c r="D70" i="2"/>
  <c r="E70" i="2"/>
  <c r="A72" i="2"/>
  <c r="B72" i="2"/>
  <c r="C72" i="2"/>
  <c r="D72" i="2"/>
  <c r="E72" i="2"/>
  <c r="A74" i="2"/>
  <c r="B74" i="2"/>
  <c r="C74" i="2"/>
  <c r="D74" i="2"/>
  <c r="E74" i="2"/>
  <c r="B75" i="2"/>
  <c r="C75" i="2"/>
  <c r="A76" i="2"/>
  <c r="B76" i="2"/>
  <c r="C76" i="2"/>
  <c r="D76" i="2"/>
  <c r="E76" i="2"/>
  <c r="B77" i="2"/>
  <c r="C77" i="2"/>
  <c r="A78" i="2"/>
  <c r="B78" i="2"/>
  <c r="C78" i="2"/>
  <c r="D78" i="2"/>
  <c r="E78" i="2"/>
  <c r="B79" i="2"/>
  <c r="C79" i="2"/>
  <c r="A80" i="2"/>
  <c r="B80" i="2"/>
  <c r="C80" i="2"/>
  <c r="D80" i="2"/>
  <c r="E80" i="2"/>
  <c r="B81" i="2"/>
  <c r="C81" i="2"/>
  <c r="A82" i="2"/>
  <c r="B82" i="2"/>
  <c r="C82" i="2"/>
  <c r="D82" i="2"/>
  <c r="E82" i="2"/>
  <c r="B83" i="2"/>
  <c r="C83" i="2"/>
  <c r="A84" i="2"/>
  <c r="B84" i="2"/>
  <c r="C84" i="2"/>
  <c r="D84" i="2"/>
  <c r="E84" i="2"/>
  <c r="B85" i="2"/>
  <c r="C85" i="2"/>
  <c r="A86" i="2"/>
  <c r="B86" i="2"/>
  <c r="C86" i="2"/>
  <c r="D86" i="2"/>
  <c r="E86" i="2"/>
  <c r="B87" i="2"/>
  <c r="C87" i="2"/>
  <c r="A88" i="2"/>
  <c r="B88" i="2"/>
  <c r="C88" i="2"/>
  <c r="D88" i="2"/>
  <c r="E88" i="2"/>
  <c r="B89" i="2"/>
  <c r="C89" i="2"/>
  <c r="A90" i="2"/>
  <c r="B90" i="2"/>
  <c r="C90" i="2"/>
  <c r="D90" i="2"/>
  <c r="E90" i="2"/>
  <c r="B91" i="2"/>
  <c r="C91" i="2"/>
  <c r="A92" i="2"/>
  <c r="B92" i="2"/>
  <c r="C92" i="2"/>
  <c r="D92" i="2"/>
  <c r="E92" i="2"/>
  <c r="B93" i="2"/>
  <c r="C93" i="2"/>
  <c r="A94" i="2"/>
  <c r="B94" i="2"/>
  <c r="C94" i="2"/>
  <c r="D94" i="2"/>
  <c r="E94" i="2"/>
  <c r="B95" i="2"/>
  <c r="C95" i="2"/>
  <c r="A96" i="2"/>
  <c r="B96" i="2"/>
  <c r="C96" i="2"/>
  <c r="D96" i="2"/>
  <c r="E96" i="2"/>
  <c r="B97" i="2"/>
  <c r="C97" i="2"/>
  <c r="A98" i="2"/>
  <c r="B98" i="2"/>
  <c r="C98" i="2"/>
  <c r="D98" i="2"/>
  <c r="E98" i="2"/>
  <c r="B99" i="2"/>
  <c r="C99" i="2"/>
  <c r="B100" i="2"/>
  <c r="C100" i="2"/>
  <c r="A101" i="2"/>
  <c r="B101" i="2"/>
  <c r="C101" i="2"/>
  <c r="D101" i="2"/>
  <c r="E101" i="2"/>
  <c r="B102" i="2"/>
  <c r="C102" i="2"/>
  <c r="A103" i="2"/>
  <c r="B103" i="2"/>
  <c r="C103" i="2"/>
  <c r="D103" i="2"/>
  <c r="E103" i="2"/>
  <c r="B104" i="2"/>
  <c r="C104" i="2"/>
  <c r="A105" i="2"/>
  <c r="B105" i="2"/>
  <c r="C105" i="2"/>
  <c r="D105" i="2"/>
  <c r="E105" i="2"/>
  <c r="B106" i="2"/>
  <c r="C106" i="2"/>
  <c r="A107" i="2"/>
  <c r="B107" i="2"/>
  <c r="C107" i="2"/>
  <c r="D107" i="2"/>
  <c r="E107" i="2"/>
  <c r="B108" i="2"/>
  <c r="C108" i="2"/>
  <c r="A109" i="2"/>
  <c r="B109" i="2"/>
  <c r="C109" i="2"/>
  <c r="D109" i="2"/>
  <c r="E109" i="2"/>
  <c r="B110" i="2"/>
  <c r="C110" i="2"/>
  <c r="B111" i="2"/>
  <c r="C111" i="2"/>
  <c r="A112" i="2"/>
  <c r="B112" i="2"/>
  <c r="C112" i="2"/>
  <c r="D112" i="2"/>
  <c r="E112" i="2"/>
  <c r="B113" i="2"/>
  <c r="C113" i="2"/>
  <c r="D113" i="2"/>
  <c r="E113" i="2"/>
  <c r="A114" i="2"/>
  <c r="B114" i="2"/>
  <c r="C114" i="2"/>
  <c r="D114" i="2"/>
  <c r="E114" i="2"/>
  <c r="B115" i="2"/>
  <c r="C115" i="2"/>
  <c r="D115" i="2"/>
  <c r="E115" i="2"/>
  <c r="A116" i="2"/>
  <c r="B116" i="2"/>
  <c r="C116" i="2"/>
  <c r="D116" i="2"/>
  <c r="E116" i="2"/>
  <c r="B117" i="2"/>
  <c r="C117" i="2"/>
  <c r="D117" i="2"/>
  <c r="E117" i="2"/>
  <c r="A118" i="2"/>
  <c r="B118" i="2"/>
  <c r="C118" i="2"/>
  <c r="D118" i="2"/>
  <c r="E118" i="2"/>
  <c r="B119" i="2"/>
  <c r="C119" i="2"/>
  <c r="D119" i="2"/>
  <c r="E119" i="2"/>
  <c r="A120" i="2"/>
  <c r="B120" i="2"/>
  <c r="C120" i="2"/>
  <c r="D120" i="2"/>
  <c r="E120" i="2"/>
  <c r="D121" i="2"/>
  <c r="E121" i="2"/>
  <c r="A122" i="2"/>
  <c r="B122" i="2"/>
  <c r="C122" i="2"/>
  <c r="D122" i="2"/>
  <c r="E122" i="2"/>
  <c r="D123" i="2"/>
  <c r="E123" i="2"/>
  <c r="A124" i="2"/>
  <c r="B124" i="2"/>
  <c r="C124" i="2"/>
  <c r="D124" i="2"/>
  <c r="E124" i="2"/>
  <c r="D125" i="2"/>
  <c r="E125" i="2"/>
  <c r="A126" i="2"/>
  <c r="B126" i="2"/>
  <c r="C126" i="2"/>
  <c r="D126" i="2"/>
  <c r="E126" i="2"/>
  <c r="D127" i="2"/>
  <c r="E127" i="2"/>
  <c r="A128" i="2"/>
  <c r="B128" i="2"/>
  <c r="C128" i="2"/>
  <c r="D128" i="2"/>
  <c r="E128" i="2"/>
  <c r="D129" i="2"/>
  <c r="E129" i="2"/>
  <c r="A130" i="2"/>
  <c r="B130" i="2"/>
  <c r="C130" i="2"/>
  <c r="D130" i="2"/>
  <c r="E130" i="2"/>
  <c r="D131" i="2"/>
  <c r="E131" i="2"/>
  <c r="A132" i="2"/>
  <c r="B132" i="2"/>
  <c r="C132" i="2"/>
  <c r="D132" i="2"/>
  <c r="E132" i="2"/>
  <c r="D133" i="2"/>
  <c r="E133" i="2"/>
  <c r="A134" i="2"/>
  <c r="B134" i="2"/>
  <c r="C134" i="2"/>
  <c r="D134" i="2"/>
  <c r="E134" i="2"/>
  <c r="A136" i="2"/>
  <c r="B136" i="2"/>
  <c r="C136" i="2"/>
  <c r="D136" i="2"/>
  <c r="E136" i="2"/>
  <c r="A138" i="2"/>
  <c r="B138" i="2"/>
  <c r="C138" i="2"/>
  <c r="D138" i="2"/>
  <c r="E138" i="2"/>
  <c r="A140" i="2"/>
  <c r="B140" i="2"/>
  <c r="C140" i="2"/>
  <c r="D140" i="2"/>
  <c r="E140" i="2"/>
  <c r="A142" i="2"/>
  <c r="B142" i="2"/>
  <c r="C142" i="2"/>
  <c r="D142" i="2"/>
  <c r="E142" i="2"/>
  <c r="A144" i="2"/>
  <c r="B144" i="2"/>
  <c r="C144" i="2"/>
  <c r="D144" i="2"/>
  <c r="E144" i="2"/>
  <c r="A146" i="2"/>
  <c r="B146" i="2"/>
  <c r="C146" i="2"/>
  <c r="D146" i="2"/>
  <c r="E146" i="2"/>
  <c r="A148" i="2"/>
  <c r="B148" i="2"/>
  <c r="C148" i="2"/>
  <c r="D148" i="2"/>
  <c r="E148" i="2"/>
  <c r="A150" i="2"/>
  <c r="B150" i="2"/>
  <c r="C150" i="2"/>
  <c r="D150" i="2"/>
  <c r="E150" i="2"/>
  <c r="A152" i="2"/>
  <c r="B152" i="2"/>
  <c r="C152" i="2"/>
  <c r="D152" i="2"/>
  <c r="E152" i="2"/>
  <c r="A154" i="2"/>
  <c r="B154" i="2"/>
  <c r="C154" i="2"/>
  <c r="D154" i="2"/>
  <c r="E154" i="2"/>
  <c r="A156" i="2"/>
  <c r="B156" i="2"/>
  <c r="C156" i="2"/>
  <c r="D156" i="2"/>
  <c r="E156" i="2"/>
  <c r="A158" i="2"/>
  <c r="B158" i="2"/>
  <c r="C158" i="2"/>
  <c r="D158" i="2"/>
  <c r="E158" i="2"/>
  <c r="B9" i="2"/>
  <c r="C9" i="2"/>
  <c r="D9" i="2"/>
  <c r="E9" i="2"/>
  <c r="A8" i="2"/>
  <c r="B8" i="2"/>
  <c r="C8" i="2"/>
  <c r="D8" i="2"/>
  <c r="E8" i="2"/>
  <c r="N5" i="1" l="1"/>
  <c r="K6" i="1" s="1"/>
  <c r="N6" i="1" s="1"/>
  <c r="K7" i="1" s="1"/>
  <c r="N7" i="1" s="1"/>
  <c r="K8" i="1" s="1"/>
  <c r="N8" i="1" s="1"/>
  <c r="K9" i="1" s="1"/>
  <c r="N9" i="1" s="1"/>
  <c r="K10" i="1" s="1"/>
  <c r="N10" i="1" s="1"/>
  <c r="O11" i="1" s="1"/>
  <c r="L5" i="1"/>
  <c r="I6" i="1" s="1"/>
  <c r="O105" i="1"/>
  <c r="O115" i="1" s="1"/>
  <c r="D11" i="1" l="1"/>
  <c r="D12" i="1" s="1"/>
  <c r="E11" i="1"/>
  <c r="E12" i="1" s="1"/>
  <c r="P11" i="1"/>
  <c r="P12" i="1" s="1"/>
  <c r="L6" i="1"/>
  <c r="I7" i="1" s="1"/>
  <c r="L7" i="1" s="1"/>
  <c r="I8" i="1" l="1"/>
  <c r="L8" i="1" s="1"/>
  <c r="I9" i="1" l="1"/>
  <c r="K11" i="1"/>
  <c r="N11" i="1" s="1"/>
  <c r="L9" i="1" l="1"/>
  <c r="I10" i="1" s="1"/>
  <c r="L10" i="1" s="1"/>
  <c r="I11" i="1" s="1"/>
  <c r="L11" i="1" l="1"/>
  <c r="I12" i="1" s="1"/>
  <c r="E7" i="2"/>
  <c r="D7" i="2"/>
  <c r="C7" i="2"/>
  <c r="B7" i="2"/>
  <c r="A7" i="2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E2" i="2"/>
  <c r="C2" i="2"/>
  <c r="D2" i="2"/>
  <c r="B2" i="2"/>
  <c r="A3" i="2"/>
  <c r="A4" i="2"/>
  <c r="A5" i="2"/>
  <c r="A2" i="2"/>
  <c r="AK70" i="1"/>
  <c r="AK72" i="1"/>
  <c r="L15" i="4" l="1"/>
  <c r="O15" i="4" s="1"/>
  <c r="L14" i="4"/>
  <c r="T14" i="4" s="1"/>
  <c r="T10" i="4"/>
  <c r="O10" i="4"/>
  <c r="T9" i="4"/>
  <c r="O9" i="4"/>
  <c r="T8" i="4"/>
  <c r="O8" i="4"/>
  <c r="T4" i="4"/>
  <c r="K4" i="4"/>
  <c r="N10" i="4" l="1"/>
  <c r="K22" i="4"/>
  <c r="J22" i="4"/>
  <c r="R24" i="4"/>
  <c r="S24" i="4"/>
  <c r="R8" i="4"/>
  <c r="F3" i="1"/>
  <c r="R23" i="4"/>
  <c r="G3" i="1"/>
  <c r="S23" i="4"/>
  <c r="R22" i="4"/>
  <c r="S22" i="4"/>
  <c r="F4" i="1"/>
  <c r="G4" i="1"/>
  <c r="G5" i="1"/>
  <c r="F5" i="1"/>
  <c r="G6" i="1"/>
  <c r="F6" i="1"/>
  <c r="F7" i="1"/>
  <c r="G7" i="1"/>
  <c r="G8" i="1"/>
  <c r="F8" i="1"/>
  <c r="F9" i="1"/>
  <c r="G9" i="1"/>
  <c r="G10" i="1"/>
  <c r="F10" i="1"/>
  <c r="F11" i="1"/>
  <c r="G11" i="1"/>
  <c r="N9" i="4"/>
  <c r="P10" i="4"/>
  <c r="J15" i="4"/>
  <c r="N15" i="4" s="1"/>
  <c r="R10" i="4"/>
  <c r="N8" i="4"/>
  <c r="P9" i="4"/>
  <c r="S10" i="4"/>
  <c r="R9" i="4"/>
  <c r="K15" i="4"/>
  <c r="P8" i="4"/>
  <c r="S9" i="4"/>
  <c r="J14" i="4"/>
  <c r="S14" i="4" s="1"/>
  <c r="K14" i="4"/>
  <c r="S8" i="4"/>
  <c r="R14" i="4" l="1"/>
  <c r="P15" i="4"/>
  <c r="I3" i="2"/>
  <c r="O15" i="1" l="1"/>
  <c r="O17" i="1"/>
  <c r="O13" i="1"/>
  <c r="I5" i="2"/>
  <c r="K12" i="1"/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E13" i="1"/>
  <c r="E14" i="1" s="1"/>
  <c r="E15" i="1" s="1"/>
  <c r="E16" i="1" s="1"/>
  <c r="E17" i="1" s="1"/>
  <c r="E18" i="1" s="1"/>
  <c r="E19" i="1" s="1"/>
  <c r="E20" i="1" s="1"/>
  <c r="E21" i="1" s="1"/>
  <c r="E22" i="1" s="1"/>
  <c r="P13" i="1"/>
  <c r="P14" i="1" s="1"/>
  <c r="P15" i="1" s="1"/>
  <c r="P16" i="1" s="1"/>
  <c r="P17" i="1" s="1"/>
  <c r="P18" i="1" s="1"/>
  <c r="P19" i="1" s="1"/>
  <c r="P20" i="1" s="1"/>
  <c r="P21" i="1" s="1"/>
  <c r="P22" i="1" s="1"/>
  <c r="L12" i="1"/>
  <c r="N12" i="1"/>
  <c r="K13" i="1" s="1"/>
  <c r="G12" i="1"/>
  <c r="F12" i="1"/>
  <c r="I13" i="1" l="1"/>
  <c r="F13" i="1" s="1"/>
  <c r="N13" i="1"/>
  <c r="K14" i="1" s="1"/>
  <c r="N20" i="1"/>
  <c r="O23" i="1" s="1"/>
  <c r="A9" i="2"/>
  <c r="D23" i="1" l="1"/>
  <c r="D24" i="1" s="1"/>
  <c r="L13" i="1"/>
  <c r="I14" i="1" s="1"/>
  <c r="G14" i="1" s="1"/>
  <c r="E23" i="1"/>
  <c r="E24" i="1" s="1"/>
  <c r="P23" i="1"/>
  <c r="P24" i="1" s="1"/>
  <c r="G13" i="1"/>
  <c r="N14" i="1"/>
  <c r="K15" i="1" s="1"/>
  <c r="N15" i="1" s="1"/>
  <c r="K21" i="1"/>
  <c r="I4" i="2"/>
  <c r="F14" i="1" l="1"/>
  <c r="L14" i="1"/>
  <c r="I15" i="1" s="1"/>
  <c r="L15" i="1" s="1"/>
  <c r="I16" i="1" s="1"/>
  <c r="L16" i="1" s="1"/>
  <c r="I17" i="1" s="1"/>
  <c r="L17" i="1" s="1"/>
  <c r="I18" i="1" s="1"/>
  <c r="L18" i="1" s="1"/>
  <c r="N21" i="1"/>
  <c r="K22" i="1" s="1"/>
  <c r="N22" i="1" s="1"/>
  <c r="K23" i="1" s="1"/>
  <c r="N23" i="1" s="1"/>
  <c r="K24" i="1" s="1"/>
  <c r="A17" i="2"/>
  <c r="O25" i="1"/>
  <c r="A11" i="2"/>
  <c r="K16" i="1"/>
  <c r="N16" i="1" s="1"/>
  <c r="E25" i="1" l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AD25" i="1"/>
  <c r="F15" i="1"/>
  <c r="G15" i="1"/>
  <c r="D25" i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P25" i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A19" i="2"/>
  <c r="N24" i="1"/>
  <c r="K25" i="1" s="1"/>
  <c r="K17" i="1"/>
  <c r="N17" i="1" s="1"/>
  <c r="G16" i="1"/>
  <c r="F16" i="1"/>
  <c r="N28" i="1" l="1"/>
  <c r="K29" i="1" s="1"/>
  <c r="N29" i="1" s="1"/>
  <c r="N25" i="1"/>
  <c r="K26" i="1" s="1"/>
  <c r="A21" i="2"/>
  <c r="I19" i="1"/>
  <c r="L19" i="1" s="1"/>
  <c r="F17" i="1"/>
  <c r="G17" i="1"/>
  <c r="A13" i="2"/>
  <c r="K18" i="1"/>
  <c r="N18" i="1" s="1"/>
  <c r="I6" i="2" l="1"/>
  <c r="A25" i="2"/>
  <c r="N26" i="1"/>
  <c r="K27" i="1" s="1"/>
  <c r="K30" i="1"/>
  <c r="I20" i="1"/>
  <c r="L20" i="1" s="1"/>
  <c r="K19" i="1"/>
  <c r="N19" i="1" s="1"/>
  <c r="F18" i="1"/>
  <c r="G18" i="1"/>
  <c r="E130" i="1" l="1"/>
  <c r="N27" i="1"/>
  <c r="A23" i="2"/>
  <c r="N30" i="1"/>
  <c r="K31" i="1" s="1"/>
  <c r="N31" i="1" s="1"/>
  <c r="K32" i="1" s="1"/>
  <c r="I21" i="1"/>
  <c r="L21" i="1" s="1"/>
  <c r="F20" i="1"/>
  <c r="G20" i="1"/>
  <c r="A15" i="2"/>
  <c r="F19" i="1"/>
  <c r="G19" i="1"/>
  <c r="E104" i="1" l="1"/>
  <c r="E151" i="1"/>
  <c r="E145" i="1"/>
  <c r="E119" i="1"/>
  <c r="E87" i="1"/>
  <c r="E91" i="1"/>
  <c r="E152" i="1"/>
  <c r="E122" i="1"/>
  <c r="E172" i="1"/>
  <c r="E131" i="1"/>
  <c r="E154" i="1"/>
  <c r="E71" i="1"/>
  <c r="E167" i="1"/>
  <c r="E95" i="1"/>
  <c r="E141" i="1"/>
  <c r="E66" i="1"/>
  <c r="E72" i="1"/>
  <c r="E115" i="1"/>
  <c r="E150" i="1"/>
  <c r="E110" i="1"/>
  <c r="E156" i="1"/>
  <c r="E169" i="1"/>
  <c r="E97" i="1"/>
  <c r="E149" i="1"/>
  <c r="E105" i="1"/>
  <c r="E117" i="1"/>
  <c r="E90" i="1"/>
  <c r="E108" i="1"/>
  <c r="E175" i="1"/>
  <c r="E79" i="1"/>
  <c r="E89" i="1"/>
  <c r="E146" i="1"/>
  <c r="E170" i="1"/>
  <c r="E173" i="1"/>
  <c r="E114" i="1"/>
  <c r="E128" i="1"/>
  <c r="E85" i="1"/>
  <c r="E129" i="1"/>
  <c r="E148" i="1"/>
  <c r="E171" i="1"/>
  <c r="E116" i="1"/>
  <c r="E112" i="1"/>
  <c r="E127" i="1"/>
  <c r="E121" i="1"/>
  <c r="E143" i="1"/>
  <c r="E81" i="1"/>
  <c r="E157" i="1"/>
  <c r="E155" i="1"/>
  <c r="E158" i="1"/>
  <c r="E160" i="1"/>
  <c r="E153" i="1"/>
  <c r="E134" i="1"/>
  <c r="E142" i="1"/>
  <c r="E73" i="1"/>
  <c r="E165" i="1"/>
  <c r="E166" i="1"/>
  <c r="E147" i="1"/>
  <c r="E75" i="1"/>
  <c r="E78" i="1"/>
  <c r="E68" i="1"/>
  <c r="E161" i="1"/>
  <c r="E113" i="1"/>
  <c r="E124" i="1"/>
  <c r="E133" i="1"/>
  <c r="E96" i="1"/>
  <c r="E174" i="1"/>
  <c r="E99" i="1"/>
  <c r="E67" i="1"/>
  <c r="E163" i="1"/>
  <c r="E111" i="1"/>
  <c r="E106" i="1"/>
  <c r="E94" i="1"/>
  <c r="E164" i="1"/>
  <c r="E159" i="1"/>
  <c r="E144" i="1"/>
  <c r="E140" i="1"/>
  <c r="E102" i="1"/>
  <c r="E74" i="1"/>
  <c r="E70" i="1"/>
  <c r="E125" i="1"/>
  <c r="E139" i="1"/>
  <c r="E123" i="1"/>
  <c r="E100" i="1"/>
  <c r="E135" i="1"/>
  <c r="E80" i="1"/>
  <c r="E101" i="1"/>
  <c r="E103" i="1"/>
  <c r="E93" i="1"/>
  <c r="E69" i="1"/>
  <c r="E118" i="1"/>
  <c r="E162" i="1"/>
  <c r="E92" i="1"/>
  <c r="E86" i="1"/>
  <c r="E107" i="1"/>
  <c r="E82" i="1"/>
  <c r="E83" i="1"/>
  <c r="E132" i="1"/>
  <c r="E136" i="1"/>
  <c r="E84" i="1"/>
  <c r="E109" i="1"/>
  <c r="E126" i="1"/>
  <c r="E137" i="1"/>
  <c r="E98" i="1"/>
  <c r="E168" i="1"/>
  <c r="E77" i="1"/>
  <c r="E76" i="1"/>
  <c r="E88" i="1"/>
  <c r="E138" i="1"/>
  <c r="E120" i="1"/>
  <c r="N32" i="1"/>
  <c r="K33" i="1" s="1"/>
  <c r="A27" i="2"/>
  <c r="I22" i="1"/>
  <c r="L22" i="1" s="1"/>
  <c r="F21" i="1"/>
  <c r="G21" i="1"/>
  <c r="N33" i="1" l="1"/>
  <c r="K34" i="1" s="1"/>
  <c r="A29" i="2"/>
  <c r="I23" i="1"/>
  <c r="L23" i="1" s="1"/>
  <c r="F22" i="1"/>
  <c r="G22" i="1"/>
  <c r="N34" i="1" l="1"/>
  <c r="K35" i="1" s="1"/>
  <c r="I24" i="1"/>
  <c r="L24" i="1" s="1"/>
  <c r="F23" i="1"/>
  <c r="G23" i="1"/>
  <c r="N35" i="1" l="1"/>
  <c r="K36" i="1" s="1"/>
  <c r="N36" i="1" s="1"/>
  <c r="K37" i="1" s="1"/>
  <c r="A31" i="2"/>
  <c r="I25" i="1"/>
  <c r="L25" i="1" s="1"/>
  <c r="G24" i="1"/>
  <c r="F24" i="1"/>
  <c r="I26" i="1" l="1"/>
  <c r="L26" i="1" s="1"/>
  <c r="F25" i="1"/>
  <c r="G25" i="1"/>
  <c r="I27" i="1" l="1"/>
  <c r="L27" i="1" s="1"/>
  <c r="G26" i="1"/>
  <c r="F26" i="1"/>
  <c r="N37" i="1" l="1"/>
  <c r="A33" i="2"/>
  <c r="I28" i="1"/>
  <c r="L28" i="1" s="1"/>
  <c r="F27" i="1"/>
  <c r="G27" i="1"/>
  <c r="K38" i="1" l="1"/>
  <c r="N38" i="1" s="1"/>
  <c r="K39" i="1" s="1"/>
  <c r="I29" i="1"/>
  <c r="L29" i="1" s="1"/>
  <c r="G28" i="1"/>
  <c r="F28" i="1"/>
  <c r="I30" i="1" l="1"/>
  <c r="L30" i="1" s="1"/>
  <c r="F29" i="1"/>
  <c r="G29" i="1"/>
  <c r="I31" i="1" l="1"/>
  <c r="L31" i="1" s="1"/>
  <c r="F30" i="1"/>
  <c r="G30" i="1"/>
  <c r="I32" i="1" l="1"/>
  <c r="L32" i="1" s="1"/>
  <c r="G31" i="1"/>
  <c r="F31" i="1"/>
  <c r="I33" i="1" l="1"/>
  <c r="L33" i="1" s="1"/>
  <c r="G32" i="1"/>
  <c r="F32" i="1"/>
  <c r="I34" i="1" l="1"/>
  <c r="L34" i="1" s="1"/>
  <c r="G33" i="1"/>
  <c r="F33" i="1"/>
  <c r="I35" i="1" l="1"/>
  <c r="L35" i="1" s="1"/>
  <c r="F34" i="1"/>
  <c r="G34" i="1"/>
  <c r="I36" i="1" l="1"/>
  <c r="L36" i="1" s="1"/>
  <c r="I37" i="1" s="1"/>
  <c r="F35" i="1"/>
  <c r="G35" i="1"/>
  <c r="G36" i="1" l="1"/>
  <c r="F36" i="1"/>
  <c r="L37" i="1" l="1"/>
  <c r="I38" i="1" l="1"/>
  <c r="L38" i="1" s="1"/>
  <c r="I39" i="1" s="1"/>
  <c r="L39" i="1" s="1"/>
  <c r="I40" i="1" s="1"/>
  <c r="G37" i="1"/>
  <c r="F37" i="1"/>
  <c r="F39" i="1" l="1"/>
  <c r="G39" i="1"/>
  <c r="L40" i="1"/>
  <c r="F38" i="1"/>
  <c r="G38" i="1"/>
  <c r="I41" i="1" l="1"/>
  <c r="L41" i="1" s="1"/>
  <c r="I42" i="1" l="1"/>
  <c r="L42" i="1" s="1"/>
  <c r="I43" i="1" l="1"/>
  <c r="L43" i="1" s="1"/>
  <c r="I44" i="1" l="1"/>
  <c r="L44" i="1" s="1"/>
  <c r="I45" i="1" l="1"/>
  <c r="L45" i="1" s="1"/>
  <c r="I46" i="1" l="1"/>
  <c r="L46" i="1" s="1"/>
  <c r="I47" i="1" l="1"/>
  <c r="L47" i="1" s="1"/>
  <c r="I48" i="1" l="1"/>
  <c r="L48" i="1" s="1"/>
  <c r="I49" i="1" l="1"/>
  <c r="L49" i="1" s="1"/>
  <c r="I50" i="1" l="1"/>
  <c r="L50" i="1" s="1"/>
  <c r="I51" i="1" l="1"/>
  <c r="L51" i="1" s="1"/>
  <c r="I52" i="1" l="1"/>
  <c r="L52" i="1" s="1"/>
  <c r="I53" i="1" l="1"/>
  <c r="L53" i="1" s="1"/>
  <c r="I54" i="1" l="1"/>
  <c r="L54" i="1" s="1"/>
  <c r="I55" i="1" l="1"/>
  <c r="L55" i="1" s="1"/>
  <c r="I56" i="1" l="1"/>
  <c r="L56" i="1" s="1"/>
  <c r="I57" i="1" l="1"/>
  <c r="L57" i="1" s="1"/>
  <c r="I58" i="1" l="1"/>
  <c r="L58" i="1" s="1"/>
  <c r="I59" i="1" l="1"/>
  <c r="L59" i="1" s="1"/>
  <c r="I60" i="1" l="1"/>
  <c r="L60" i="1" s="1"/>
  <c r="I61" i="1" l="1"/>
  <c r="L61" i="1" s="1"/>
  <c r="I62" i="1" l="1"/>
  <c r="L62" i="1" s="1"/>
  <c r="I63" i="1" l="1"/>
  <c r="L63" i="1" s="1"/>
  <c r="I64" i="1" l="1"/>
  <c r="L64" i="1" s="1"/>
  <c r="I65" i="1" l="1"/>
  <c r="L65" i="1" s="1"/>
  <c r="I66" i="1" s="1"/>
  <c r="L66" i="1" s="1"/>
  <c r="I67" i="1" s="1"/>
  <c r="L67" i="1" s="1"/>
  <c r="I68" i="1" s="1"/>
  <c r="L68" i="1" s="1"/>
  <c r="I69" i="1" s="1"/>
  <c r="L69" i="1" s="1"/>
  <c r="I70" i="1" s="1"/>
  <c r="L70" i="1" s="1"/>
  <c r="I71" i="1" s="1"/>
  <c r="L71" i="1" s="1"/>
  <c r="I72" i="1" s="1"/>
  <c r="L72" i="1" s="1"/>
  <c r="I73" i="1" s="1"/>
  <c r="L73" i="1" s="1"/>
  <c r="I74" i="1" s="1"/>
  <c r="L74" i="1" s="1"/>
  <c r="I75" i="1" s="1"/>
  <c r="L75" i="1" s="1"/>
  <c r="I76" i="1" s="1"/>
  <c r="L76" i="1" s="1"/>
  <c r="I77" i="1" s="1"/>
  <c r="L77" i="1" s="1"/>
  <c r="I78" i="1" s="1"/>
  <c r="L78" i="1" s="1"/>
  <c r="I79" i="1" s="1"/>
  <c r="L79" i="1" s="1"/>
  <c r="I80" i="1" s="1"/>
  <c r="L80" i="1" s="1"/>
  <c r="I81" i="1" s="1"/>
  <c r="L81" i="1" s="1"/>
  <c r="I82" i="1" s="1"/>
  <c r="L82" i="1" s="1"/>
  <c r="I83" i="1" s="1"/>
  <c r="L83" i="1" s="1"/>
  <c r="I84" i="1" s="1"/>
  <c r="L84" i="1" s="1"/>
  <c r="I85" i="1" s="1"/>
  <c r="L85" i="1" s="1"/>
  <c r="I86" i="1" s="1"/>
  <c r="L86" i="1" s="1"/>
  <c r="I87" i="1" s="1"/>
  <c r="L87" i="1" s="1"/>
  <c r="I88" i="1" s="1"/>
  <c r="L88" i="1" s="1"/>
  <c r="I89" i="1" s="1"/>
  <c r="L89" i="1" s="1"/>
  <c r="I90" i="1" s="1"/>
  <c r="L90" i="1" s="1"/>
  <c r="I91" i="1" s="1"/>
  <c r="L91" i="1" s="1"/>
  <c r="I92" i="1" s="1"/>
  <c r="L92" i="1" s="1"/>
  <c r="I93" i="1" s="1"/>
  <c r="L93" i="1" s="1"/>
  <c r="I94" i="1" s="1"/>
  <c r="L94" i="1" s="1"/>
  <c r="I95" i="1" s="1"/>
  <c r="L95" i="1" s="1"/>
  <c r="I96" i="1" s="1"/>
  <c r="L96" i="1" s="1"/>
  <c r="I97" i="1" s="1"/>
  <c r="L97" i="1" s="1"/>
  <c r="I98" i="1" s="1"/>
  <c r="L98" i="1" s="1"/>
  <c r="I99" i="1" s="1"/>
  <c r="L99" i="1" s="1"/>
  <c r="I100" i="1" s="1"/>
  <c r="L100" i="1" s="1"/>
  <c r="I101" i="1" s="1"/>
  <c r="L101" i="1" s="1"/>
  <c r="I102" i="1" s="1"/>
  <c r="L102" i="1" s="1"/>
  <c r="I103" i="1" s="1"/>
  <c r="L103" i="1" s="1"/>
  <c r="I104" i="1" s="1"/>
  <c r="L104" i="1" s="1"/>
  <c r="I105" i="1" s="1"/>
  <c r="L105" i="1" s="1"/>
  <c r="I106" i="1" s="1"/>
  <c r="L106" i="1" s="1"/>
  <c r="I107" i="1" s="1"/>
  <c r="L107" i="1" s="1"/>
  <c r="I108" i="1" s="1"/>
  <c r="L108" i="1" s="1"/>
  <c r="I109" i="1" s="1"/>
  <c r="L109" i="1" s="1"/>
  <c r="I110" i="1" s="1"/>
  <c r="L110" i="1" s="1"/>
  <c r="I111" i="1" s="1"/>
  <c r="L111" i="1" s="1"/>
  <c r="I112" i="1" s="1"/>
  <c r="L112" i="1" s="1"/>
  <c r="I113" i="1" s="1"/>
  <c r="L113" i="1" s="1"/>
  <c r="I114" i="1" s="1"/>
  <c r="L114" i="1" s="1"/>
  <c r="I115" i="1" s="1"/>
  <c r="L115" i="1" s="1"/>
  <c r="I116" i="1" s="1"/>
  <c r="L116" i="1" s="1"/>
  <c r="I117" i="1" s="1"/>
  <c r="L117" i="1" s="1"/>
  <c r="I118" i="1" s="1"/>
  <c r="L118" i="1" s="1"/>
  <c r="I119" i="1" s="1"/>
  <c r="L119" i="1" s="1"/>
  <c r="I120" i="1" s="1"/>
  <c r="L120" i="1" s="1"/>
  <c r="I121" i="1" s="1"/>
  <c r="L121" i="1" s="1"/>
  <c r="I122" i="1" s="1"/>
  <c r="L122" i="1" s="1"/>
  <c r="I123" i="1" s="1"/>
  <c r="L123" i="1" s="1"/>
  <c r="I124" i="1" s="1"/>
  <c r="L124" i="1" s="1"/>
  <c r="I125" i="1" s="1"/>
  <c r="L125" i="1" s="1"/>
  <c r="I126" i="1" s="1"/>
  <c r="L126" i="1" s="1"/>
  <c r="I127" i="1" s="1"/>
  <c r="L127" i="1" s="1"/>
  <c r="I128" i="1" s="1"/>
  <c r="L128" i="1" s="1"/>
  <c r="I129" i="1" s="1"/>
  <c r="L129" i="1" s="1"/>
  <c r="I130" i="1" s="1"/>
  <c r="L130" i="1" s="1"/>
  <c r="I131" i="1" s="1"/>
  <c r="L131" i="1" s="1"/>
  <c r="I132" i="1" s="1"/>
  <c r="L132" i="1" s="1"/>
  <c r="I133" i="1" s="1"/>
  <c r="L133" i="1" s="1"/>
  <c r="I134" i="1" s="1"/>
  <c r="L134" i="1" s="1"/>
  <c r="I135" i="1" s="1"/>
  <c r="L135" i="1" s="1"/>
  <c r="I136" i="1" s="1"/>
  <c r="L136" i="1" s="1"/>
  <c r="I137" i="1" s="1"/>
  <c r="L137" i="1" s="1"/>
  <c r="I138" i="1" s="1"/>
  <c r="L138" i="1" s="1"/>
  <c r="I139" i="1" s="1"/>
  <c r="L139" i="1" s="1"/>
  <c r="I140" i="1" s="1"/>
  <c r="L140" i="1" s="1"/>
  <c r="I141" i="1" s="1"/>
  <c r="L141" i="1" s="1"/>
  <c r="I142" i="1" s="1"/>
  <c r="L142" i="1" s="1"/>
  <c r="I143" i="1" s="1"/>
  <c r="L143" i="1" s="1"/>
  <c r="I144" i="1" s="1"/>
  <c r="L144" i="1" s="1"/>
  <c r="I145" i="1" s="1"/>
  <c r="L145" i="1" s="1"/>
  <c r="I146" i="1" s="1"/>
  <c r="L146" i="1" s="1"/>
  <c r="I147" i="1" s="1"/>
  <c r="L147" i="1" s="1"/>
  <c r="I148" i="1" s="1"/>
  <c r="L148" i="1" s="1"/>
  <c r="I149" i="1" s="1"/>
  <c r="L149" i="1" s="1"/>
  <c r="I150" i="1" s="1"/>
  <c r="L150" i="1" s="1"/>
  <c r="I151" i="1" s="1"/>
  <c r="L151" i="1" s="1"/>
  <c r="I152" i="1" s="1"/>
  <c r="L152" i="1" s="1"/>
  <c r="I153" i="1" s="1"/>
  <c r="L153" i="1" s="1"/>
  <c r="I154" i="1" s="1"/>
  <c r="L154" i="1" s="1"/>
  <c r="I155" i="1" s="1"/>
  <c r="L155" i="1" s="1"/>
  <c r="I156" i="1" s="1"/>
  <c r="L156" i="1" s="1"/>
  <c r="I157" i="1" s="1"/>
  <c r="L157" i="1" s="1"/>
  <c r="I158" i="1" s="1"/>
  <c r="L158" i="1" s="1"/>
  <c r="I159" i="1" s="1"/>
  <c r="L159" i="1" s="1"/>
  <c r="I160" i="1" s="1"/>
  <c r="L160" i="1" s="1"/>
  <c r="I161" i="1" s="1"/>
  <c r="L161" i="1" s="1"/>
  <c r="I162" i="1" s="1"/>
  <c r="L162" i="1" s="1"/>
  <c r="I163" i="1" s="1"/>
  <c r="L163" i="1" s="1"/>
  <c r="I164" i="1" s="1"/>
  <c r="L164" i="1" s="1"/>
  <c r="I165" i="1" s="1"/>
  <c r="L165" i="1" s="1"/>
  <c r="I166" i="1" s="1"/>
  <c r="L166" i="1" s="1"/>
  <c r="I167" i="1" s="1"/>
  <c r="L167" i="1" s="1"/>
  <c r="I168" i="1" s="1"/>
  <c r="L168" i="1" s="1"/>
  <c r="I169" i="1" s="1"/>
  <c r="L169" i="1" s="1"/>
  <c r="I170" i="1" s="1"/>
  <c r="L170" i="1" s="1"/>
  <c r="I171" i="1" s="1"/>
  <c r="L171" i="1" s="1"/>
  <c r="I172" i="1" s="1"/>
  <c r="L172" i="1" s="1"/>
  <c r="I173" i="1" s="1"/>
  <c r="L173" i="1" s="1"/>
  <c r="I174" i="1" s="1"/>
  <c r="L174" i="1" s="1"/>
  <c r="I175" i="1" s="1"/>
  <c r="L175" i="1" s="1"/>
  <c r="V118" i="1" l="1"/>
  <c r="H4" i="1" l="1"/>
  <c r="J5" i="1"/>
  <c r="M5" i="1" s="1"/>
  <c r="J6" i="1" l="1"/>
  <c r="M6" i="1" s="1"/>
  <c r="H5" i="1"/>
  <c r="J7" i="1" l="1"/>
  <c r="M7" i="1" s="1"/>
  <c r="H6" i="1"/>
  <c r="J8" i="1" l="1"/>
  <c r="M8" i="1" s="1"/>
  <c r="H7" i="1"/>
  <c r="J9" i="1" l="1"/>
  <c r="M9" i="1" s="1"/>
  <c r="H8" i="1"/>
  <c r="J10" i="1" l="1"/>
  <c r="M10" i="1" s="1"/>
  <c r="H9" i="1"/>
  <c r="J11" i="1" l="1"/>
  <c r="M11" i="1" s="1"/>
  <c r="H10" i="1"/>
  <c r="J12" i="1" l="1"/>
  <c r="M12" i="1" s="1"/>
  <c r="H11" i="1"/>
  <c r="J13" i="1" l="1"/>
  <c r="M13" i="1" s="1"/>
  <c r="H12" i="1"/>
  <c r="J14" i="1" l="1"/>
  <c r="M14" i="1" s="1"/>
  <c r="H13" i="1"/>
  <c r="J15" i="1" l="1"/>
  <c r="M15" i="1" s="1"/>
  <c r="H14" i="1"/>
  <c r="J16" i="1" l="1"/>
  <c r="M16" i="1" s="1"/>
  <c r="H15" i="1"/>
  <c r="J17" i="1" l="1"/>
  <c r="M17" i="1" s="1"/>
  <c r="H16" i="1"/>
  <c r="J18" i="1" l="1"/>
  <c r="M18" i="1" s="1"/>
  <c r="H17" i="1"/>
  <c r="J19" i="1" l="1"/>
  <c r="M19" i="1" s="1"/>
  <c r="H18" i="1"/>
  <c r="J20" i="1" l="1"/>
  <c r="M20" i="1" s="1"/>
  <c r="H19" i="1"/>
  <c r="J21" i="1" l="1"/>
  <c r="M21" i="1" s="1"/>
  <c r="H20" i="1"/>
  <c r="J22" i="1" l="1"/>
  <c r="M22" i="1" s="1"/>
  <c r="H21" i="1"/>
  <c r="J23" i="1" l="1"/>
  <c r="M23" i="1" s="1"/>
  <c r="H22" i="1"/>
  <c r="J24" i="1" l="1"/>
  <c r="M24" i="1" s="1"/>
  <c r="H23" i="1"/>
  <c r="H24" i="1" l="1"/>
  <c r="J25" i="1"/>
  <c r="M25" i="1" s="1"/>
  <c r="H25" i="1" l="1"/>
  <c r="J26" i="1"/>
  <c r="M26" i="1" s="1"/>
  <c r="H26" i="1" l="1"/>
  <c r="J27" i="1"/>
  <c r="M27" i="1" s="1"/>
  <c r="H27" i="1" l="1"/>
  <c r="J28" i="1"/>
  <c r="M28" i="1" s="1"/>
  <c r="H28" i="1" l="1"/>
  <c r="J29" i="1"/>
  <c r="M29" i="1" s="1"/>
  <c r="H29" i="1" l="1"/>
  <c r="J30" i="1"/>
  <c r="M30" i="1" s="1"/>
  <c r="H30" i="1" l="1"/>
  <c r="J31" i="1"/>
  <c r="M31" i="1" s="1"/>
  <c r="H31" i="1" l="1"/>
  <c r="J32" i="1"/>
  <c r="M32" i="1" s="1"/>
  <c r="J33" i="1" l="1"/>
  <c r="M33" i="1" s="1"/>
  <c r="H32" i="1"/>
  <c r="H33" i="1" l="1"/>
  <c r="J34" i="1"/>
  <c r="M34" i="1" s="1"/>
  <c r="J35" i="1" l="1"/>
  <c r="M35" i="1" s="1"/>
  <c r="H34" i="1"/>
  <c r="J36" i="1" l="1"/>
  <c r="M36" i="1" s="1"/>
  <c r="J37" i="1" s="1"/>
  <c r="H35" i="1"/>
  <c r="H36" i="1" l="1"/>
  <c r="M37" i="1" l="1"/>
  <c r="J38" i="1" l="1"/>
  <c r="M38" i="1" s="1"/>
  <c r="J39" i="1" s="1"/>
  <c r="H39" i="1" s="1"/>
  <c r="H37" i="1"/>
  <c r="H38" i="1" l="1"/>
  <c r="N39" i="1" l="1"/>
  <c r="K40" i="1" s="1"/>
  <c r="M39" i="1"/>
  <c r="J40" i="1" s="1"/>
  <c r="H40" i="1" s="1"/>
  <c r="A35" i="2" l="1"/>
  <c r="F40" i="1"/>
  <c r="G40" i="1"/>
  <c r="N40" i="1"/>
  <c r="K41" i="1" s="1"/>
  <c r="F41" i="1" s="1"/>
  <c r="M40" i="1"/>
  <c r="J41" i="1" s="1"/>
  <c r="G41" i="1" l="1"/>
  <c r="H41" i="1"/>
  <c r="M41" i="1"/>
  <c r="J42" i="1" s="1"/>
  <c r="N41" i="1"/>
  <c r="K42" i="1" s="1"/>
  <c r="F42" i="1" l="1"/>
  <c r="G42" i="1"/>
  <c r="A37" i="2"/>
  <c r="N42" i="1"/>
  <c r="K43" i="1" s="1"/>
  <c r="H42" i="1"/>
  <c r="M42" i="1"/>
  <c r="J43" i="1" s="1"/>
  <c r="G43" i="1" l="1"/>
  <c r="F43" i="1"/>
  <c r="N43" i="1"/>
  <c r="K44" i="1" s="1"/>
  <c r="H43" i="1"/>
  <c r="M43" i="1"/>
  <c r="J44" i="1" s="1"/>
  <c r="M44" i="1" l="1"/>
  <c r="J45" i="1" s="1"/>
  <c r="H44" i="1"/>
  <c r="G44" i="1"/>
  <c r="A39" i="2"/>
  <c r="F44" i="1"/>
  <c r="N44" i="1"/>
  <c r="K45" i="1" s="1"/>
  <c r="G45" i="1" l="1"/>
  <c r="F45" i="1"/>
  <c r="N45" i="1"/>
  <c r="K46" i="1" s="1"/>
  <c r="H45" i="1"/>
  <c r="M45" i="1"/>
  <c r="J46" i="1" s="1"/>
  <c r="A41" i="2" l="1"/>
  <c r="F46" i="1"/>
  <c r="N46" i="1"/>
  <c r="K47" i="1" s="1"/>
  <c r="G46" i="1"/>
  <c r="H46" i="1"/>
  <c r="M46" i="1"/>
  <c r="J47" i="1" s="1"/>
  <c r="H47" i="1" l="1"/>
  <c r="M47" i="1"/>
  <c r="J48" i="1" s="1"/>
  <c r="G47" i="1"/>
  <c r="F47" i="1"/>
  <c r="N47" i="1"/>
  <c r="K48" i="1" s="1"/>
  <c r="A43" i="2" l="1"/>
  <c r="F48" i="1"/>
  <c r="G48" i="1"/>
  <c r="N48" i="1"/>
  <c r="K49" i="1" s="1"/>
  <c r="H48" i="1"/>
  <c r="M48" i="1"/>
  <c r="J49" i="1" s="1"/>
  <c r="G49" i="1" l="1"/>
  <c r="F49" i="1"/>
  <c r="N49" i="1"/>
  <c r="K50" i="1" s="1"/>
  <c r="H49" i="1"/>
  <c r="M49" i="1"/>
  <c r="J50" i="1" s="1"/>
  <c r="H50" i="1" l="1"/>
  <c r="M50" i="1"/>
  <c r="J51" i="1" s="1"/>
  <c r="A45" i="2"/>
  <c r="F50" i="1"/>
  <c r="G50" i="1"/>
  <c r="N50" i="1"/>
  <c r="K51" i="1" s="1"/>
  <c r="F51" i="1" l="1"/>
  <c r="G51" i="1"/>
  <c r="N51" i="1"/>
  <c r="K52" i="1" s="1"/>
  <c r="H51" i="1"/>
  <c r="M51" i="1"/>
  <c r="J52" i="1" s="1"/>
  <c r="H52" i="1" l="1"/>
  <c r="M52" i="1"/>
  <c r="J53" i="1" s="1"/>
  <c r="F52" i="1"/>
  <c r="G52" i="1"/>
  <c r="A47" i="2"/>
  <c r="N52" i="1"/>
  <c r="K53" i="1" s="1"/>
  <c r="G53" i="1" l="1"/>
  <c r="F53" i="1"/>
  <c r="N53" i="1"/>
  <c r="K54" i="1" s="1"/>
  <c r="H53" i="1"/>
  <c r="M53" i="1"/>
  <c r="J54" i="1" s="1"/>
  <c r="H54" i="1" l="1"/>
  <c r="M54" i="1"/>
  <c r="J55" i="1" s="1"/>
  <c r="A49" i="2"/>
  <c r="G54" i="1"/>
  <c r="N54" i="1"/>
  <c r="K55" i="1" s="1"/>
  <c r="F54" i="1"/>
  <c r="G55" i="1" l="1"/>
  <c r="F55" i="1"/>
  <c r="N55" i="1"/>
  <c r="K56" i="1" s="1"/>
  <c r="H55" i="1"/>
  <c r="M55" i="1"/>
  <c r="J56" i="1" s="1"/>
  <c r="H56" i="1" l="1"/>
  <c r="M56" i="1"/>
  <c r="J57" i="1" s="1"/>
  <c r="A51" i="2"/>
  <c r="F56" i="1"/>
  <c r="G56" i="1"/>
  <c r="N56" i="1"/>
  <c r="K57" i="1" s="1"/>
  <c r="G57" i="1" l="1"/>
  <c r="F57" i="1"/>
  <c r="N57" i="1"/>
  <c r="K58" i="1" s="1"/>
  <c r="H57" i="1"/>
  <c r="M57" i="1"/>
  <c r="J58" i="1" s="1"/>
  <c r="H58" i="1" l="1"/>
  <c r="M58" i="1"/>
  <c r="J59" i="1" s="1"/>
  <c r="A53" i="2"/>
  <c r="F58" i="1"/>
  <c r="G58" i="1"/>
  <c r="N58" i="1"/>
  <c r="K59" i="1" s="1"/>
  <c r="G59" i="1" l="1"/>
  <c r="F59" i="1"/>
  <c r="N59" i="1"/>
  <c r="K60" i="1" s="1"/>
  <c r="H59" i="1"/>
  <c r="M59" i="1"/>
  <c r="J60" i="1" s="1"/>
  <c r="H60" i="1" l="1"/>
  <c r="M60" i="1"/>
  <c r="J61" i="1" s="1"/>
  <c r="A55" i="2"/>
  <c r="F60" i="1"/>
  <c r="G60" i="1"/>
  <c r="N60" i="1"/>
  <c r="K61" i="1" s="1"/>
  <c r="F61" i="1" l="1"/>
  <c r="G61" i="1"/>
  <c r="N61" i="1"/>
  <c r="K62" i="1" s="1"/>
  <c r="H61" i="1"/>
  <c r="M61" i="1"/>
  <c r="J62" i="1" s="1"/>
  <c r="H62" i="1" l="1"/>
  <c r="M62" i="1"/>
  <c r="J63" i="1" s="1"/>
  <c r="A57" i="2"/>
  <c r="F62" i="1"/>
  <c r="G62" i="1"/>
  <c r="N62" i="1"/>
  <c r="K63" i="1" s="1"/>
  <c r="F63" i="1" l="1"/>
  <c r="G63" i="1"/>
  <c r="N63" i="1"/>
  <c r="K64" i="1" s="1"/>
  <c r="H63" i="1"/>
  <c r="M63" i="1"/>
  <c r="J64" i="1" s="1"/>
  <c r="F64" i="1" l="1"/>
  <c r="G64" i="1"/>
  <c r="A59" i="2"/>
  <c r="N64" i="1"/>
  <c r="K65" i="1" s="1"/>
  <c r="H64" i="1"/>
  <c r="M64" i="1"/>
  <c r="J65" i="1" s="1"/>
  <c r="H65" i="1" l="1"/>
  <c r="M65" i="1"/>
  <c r="J66" i="1" s="1"/>
  <c r="F65" i="1"/>
  <c r="G65" i="1"/>
  <c r="N65" i="1"/>
  <c r="K66" i="1" s="1"/>
  <c r="U66" i="1" l="1"/>
  <c r="S66" i="1"/>
  <c r="G66" i="1"/>
  <c r="N66" i="1"/>
  <c r="F66" i="1"/>
  <c r="H66" i="1"/>
  <c r="M66" i="1"/>
  <c r="J67" i="1" s="1"/>
  <c r="T66" i="1" l="1"/>
  <c r="V66" i="1"/>
  <c r="H67" i="1"/>
  <c r="M67" i="1"/>
  <c r="J68" i="1" s="1"/>
  <c r="K67" i="1"/>
  <c r="A61" i="2"/>
  <c r="C61" i="2"/>
  <c r="B61" i="2"/>
  <c r="D61" i="2"/>
  <c r="E61" i="2"/>
  <c r="G67" i="1" l="1"/>
  <c r="F67" i="1"/>
  <c r="N67" i="1"/>
  <c r="K68" i="1" s="1"/>
  <c r="H68" i="1"/>
  <c r="M68" i="1"/>
  <c r="J69" i="1" s="1"/>
  <c r="S68" i="1" l="1"/>
  <c r="U68" i="1"/>
  <c r="G68" i="1"/>
  <c r="F68" i="1"/>
  <c r="N68" i="1"/>
  <c r="H69" i="1"/>
  <c r="M69" i="1"/>
  <c r="J70" i="1" s="1"/>
  <c r="T68" i="1" l="1"/>
  <c r="V68" i="1"/>
  <c r="E63" i="2"/>
  <c r="D63" i="2"/>
  <c r="A63" i="2"/>
  <c r="C63" i="2"/>
  <c r="B63" i="2"/>
  <c r="M70" i="1"/>
  <c r="J71" i="1" s="1"/>
  <c r="H70" i="1"/>
  <c r="K69" i="1"/>
  <c r="F69" i="1" l="1"/>
  <c r="G69" i="1"/>
  <c r="N69" i="1"/>
  <c r="K70" i="1" s="1"/>
  <c r="H71" i="1"/>
  <c r="M71" i="1"/>
  <c r="J72" i="1" s="1"/>
  <c r="U70" i="1" l="1"/>
  <c r="S70" i="1"/>
  <c r="G70" i="1"/>
  <c r="F70" i="1"/>
  <c r="N70" i="1"/>
  <c r="M72" i="1"/>
  <c r="J73" i="1" s="1"/>
  <c r="H72" i="1"/>
  <c r="T70" i="1" l="1"/>
  <c r="V70" i="1"/>
  <c r="H73" i="1"/>
  <c r="M73" i="1"/>
  <c r="J74" i="1" s="1"/>
  <c r="A65" i="2"/>
  <c r="C65" i="2"/>
  <c r="B65" i="2"/>
  <c r="D65" i="2"/>
  <c r="E65" i="2"/>
  <c r="K71" i="1"/>
  <c r="G71" i="1" l="1"/>
  <c r="F71" i="1"/>
  <c r="N71" i="1"/>
  <c r="K72" i="1" s="1"/>
  <c r="H74" i="1"/>
  <c r="M74" i="1"/>
  <c r="J75" i="1" s="1"/>
  <c r="S72" i="1" l="1"/>
  <c r="U72" i="1"/>
  <c r="M75" i="1"/>
  <c r="J76" i="1" s="1"/>
  <c r="H75" i="1"/>
  <c r="G72" i="1"/>
  <c r="F72" i="1"/>
  <c r="N72" i="1"/>
  <c r="T72" i="1" l="1"/>
  <c r="V72" i="1"/>
  <c r="E67" i="2"/>
  <c r="D67" i="2"/>
  <c r="M76" i="1"/>
  <c r="J77" i="1" s="1"/>
  <c r="H76" i="1"/>
  <c r="K73" i="1"/>
  <c r="C67" i="2"/>
  <c r="A67" i="2"/>
  <c r="B67" i="2"/>
  <c r="F73" i="1" l="1"/>
  <c r="G73" i="1"/>
  <c r="N73" i="1"/>
  <c r="K74" i="1" s="1"/>
  <c r="H77" i="1"/>
  <c r="M77" i="1"/>
  <c r="J78" i="1" s="1"/>
  <c r="U74" i="1" l="1"/>
  <c r="S74" i="1"/>
  <c r="F74" i="1"/>
  <c r="G74" i="1"/>
  <c r="N74" i="1"/>
  <c r="H78" i="1"/>
  <c r="M78" i="1"/>
  <c r="J79" i="1" s="1"/>
  <c r="V74" i="1" l="1"/>
  <c r="T74" i="1"/>
  <c r="D69" i="2"/>
  <c r="E69" i="2"/>
  <c r="H79" i="1"/>
  <c r="M79" i="1"/>
  <c r="J80" i="1" s="1"/>
  <c r="K75" i="1"/>
  <c r="A69" i="2"/>
  <c r="C69" i="2"/>
  <c r="B69" i="2"/>
  <c r="G75" i="1" l="1"/>
  <c r="F75" i="1"/>
  <c r="N75" i="1"/>
  <c r="K76" i="1" s="1"/>
  <c r="M80" i="1"/>
  <c r="J81" i="1" s="1"/>
  <c r="H80" i="1"/>
  <c r="U76" i="1" l="1"/>
  <c r="S76" i="1"/>
  <c r="F76" i="1"/>
  <c r="G76" i="1"/>
  <c r="N76" i="1"/>
  <c r="V76" i="1" s="1"/>
  <c r="H81" i="1"/>
  <c r="M81" i="1"/>
  <c r="J82" i="1" s="1"/>
  <c r="K77" i="1" l="1"/>
  <c r="A71" i="2"/>
  <c r="S78" i="1"/>
  <c r="C71" i="2"/>
  <c r="B71" i="2"/>
  <c r="T76" i="1"/>
  <c r="H82" i="1"/>
  <c r="M82" i="1"/>
  <c r="J83" i="1" s="1"/>
  <c r="E71" i="2"/>
  <c r="D71" i="2"/>
  <c r="H83" i="1" l="1"/>
  <c r="M83" i="1"/>
  <c r="J84" i="1" s="1"/>
  <c r="C73" i="2"/>
  <c r="B73" i="2"/>
  <c r="T78" i="1"/>
  <c r="F77" i="1"/>
  <c r="G77" i="1"/>
  <c r="N77" i="1"/>
  <c r="K78" i="1" s="1"/>
  <c r="U78" i="1" s="1"/>
  <c r="F78" i="1" l="1"/>
  <c r="N78" i="1"/>
  <c r="V78" i="1" s="1"/>
  <c r="G78" i="1"/>
  <c r="A73" i="2"/>
  <c r="M84" i="1"/>
  <c r="J85" i="1" s="1"/>
  <c r="H84" i="1"/>
  <c r="H85" i="1" l="1"/>
  <c r="M85" i="1"/>
  <c r="J86" i="1" s="1"/>
  <c r="K79" i="1"/>
  <c r="U80" i="1"/>
  <c r="E73" i="2"/>
  <c r="D73" i="2"/>
  <c r="E75" i="2" l="1"/>
  <c r="V80" i="1"/>
  <c r="U82" i="1" s="1"/>
  <c r="D75" i="2"/>
  <c r="F79" i="1"/>
  <c r="N79" i="1"/>
  <c r="K80" i="1" s="1"/>
  <c r="G79" i="1"/>
  <c r="H86" i="1"/>
  <c r="M86" i="1"/>
  <c r="J87" i="1" s="1"/>
  <c r="G80" i="1" l="1"/>
  <c r="F80" i="1"/>
  <c r="A75" i="2"/>
  <c r="N80" i="1"/>
  <c r="K81" i="1" s="1"/>
  <c r="H87" i="1"/>
  <c r="M87" i="1"/>
  <c r="J88" i="1" s="1"/>
  <c r="E77" i="2"/>
  <c r="D77" i="2"/>
  <c r="V82" i="1"/>
  <c r="U84" i="1" s="1"/>
  <c r="H88" i="1" l="1"/>
  <c r="M88" i="1"/>
  <c r="J89" i="1" s="1"/>
  <c r="G81" i="1"/>
  <c r="N81" i="1"/>
  <c r="K82" i="1" s="1"/>
  <c r="F81" i="1"/>
  <c r="D79" i="2"/>
  <c r="E79" i="2"/>
  <c r="V84" i="1"/>
  <c r="U86" i="1" s="1"/>
  <c r="E81" i="2" l="1"/>
  <c r="D81" i="2"/>
  <c r="V86" i="1"/>
  <c r="U88" i="1" s="1"/>
  <c r="F82" i="1"/>
  <c r="G82" i="1"/>
  <c r="A77" i="2"/>
  <c r="N82" i="1"/>
  <c r="K83" i="1" s="1"/>
  <c r="H89" i="1"/>
  <c r="M89" i="1"/>
  <c r="J90" i="1" s="1"/>
  <c r="F83" i="1" l="1"/>
  <c r="G83" i="1"/>
  <c r="N83" i="1"/>
  <c r="K84" i="1" s="1"/>
  <c r="D83" i="2"/>
  <c r="E83" i="2"/>
  <c r="V88" i="1"/>
  <c r="U90" i="1" s="1"/>
  <c r="H90" i="1"/>
  <c r="M90" i="1"/>
  <c r="J91" i="1" s="1"/>
  <c r="G84" i="1" l="1"/>
  <c r="A79" i="2"/>
  <c r="F84" i="1"/>
  <c r="N84" i="1"/>
  <c r="K85" i="1" s="1"/>
  <c r="H91" i="1"/>
  <c r="M91" i="1"/>
  <c r="J92" i="1" s="1"/>
  <c r="D85" i="2"/>
  <c r="E85" i="2"/>
  <c r="V90" i="1"/>
  <c r="U92" i="1" s="1"/>
  <c r="N85" i="1" l="1"/>
  <c r="K86" i="1" s="1"/>
  <c r="G85" i="1"/>
  <c r="F85" i="1"/>
  <c r="H92" i="1"/>
  <c r="M92" i="1"/>
  <c r="J93" i="1" s="1"/>
  <c r="E87" i="2"/>
  <c r="D87" i="2"/>
  <c r="V92" i="1"/>
  <c r="U94" i="1" s="1"/>
  <c r="D89" i="2" l="1"/>
  <c r="E89" i="2"/>
  <c r="V94" i="1"/>
  <c r="U96" i="1" s="1"/>
  <c r="H93" i="1"/>
  <c r="M93" i="1"/>
  <c r="J94" i="1" s="1"/>
  <c r="F86" i="1"/>
  <c r="G86" i="1"/>
  <c r="A81" i="2"/>
  <c r="N86" i="1"/>
  <c r="K87" i="1" s="1"/>
  <c r="H94" i="1" l="1"/>
  <c r="M94" i="1"/>
  <c r="J95" i="1" s="1"/>
  <c r="E91" i="2"/>
  <c r="D91" i="2"/>
  <c r="V96" i="1"/>
  <c r="U98" i="1" s="1"/>
  <c r="F87" i="1"/>
  <c r="G87" i="1"/>
  <c r="N87" i="1"/>
  <c r="K88" i="1" s="1"/>
  <c r="F88" i="1" l="1"/>
  <c r="G88" i="1"/>
  <c r="A83" i="2"/>
  <c r="N88" i="1"/>
  <c r="K89" i="1" s="1"/>
  <c r="D93" i="2"/>
  <c r="E93" i="2"/>
  <c r="V98" i="1"/>
  <c r="U100" i="1" s="1"/>
  <c r="H95" i="1"/>
  <c r="M95" i="1"/>
  <c r="J96" i="1" s="1"/>
  <c r="V100" i="1" l="1"/>
  <c r="U102" i="1" s="1"/>
  <c r="E95" i="2"/>
  <c r="D95" i="2"/>
  <c r="G89" i="1"/>
  <c r="F89" i="1"/>
  <c r="N89" i="1"/>
  <c r="K90" i="1" s="1"/>
  <c r="M96" i="1"/>
  <c r="J97" i="1" s="1"/>
  <c r="H96" i="1"/>
  <c r="H97" i="1" l="1"/>
  <c r="M97" i="1"/>
  <c r="J98" i="1" s="1"/>
  <c r="F90" i="1"/>
  <c r="N90" i="1"/>
  <c r="K91" i="1" s="1"/>
  <c r="A85" i="2"/>
  <c r="G90" i="1"/>
  <c r="D97" i="2"/>
  <c r="V102" i="1"/>
  <c r="U104" i="1" s="1"/>
  <c r="E97" i="2"/>
  <c r="F91" i="1" l="1"/>
  <c r="N91" i="1"/>
  <c r="K92" i="1" s="1"/>
  <c r="G91" i="1"/>
  <c r="D99" i="2"/>
  <c r="E99" i="2"/>
  <c r="V104" i="1"/>
  <c r="H98" i="1"/>
  <c r="M98" i="1"/>
  <c r="J99" i="1" s="1"/>
  <c r="G92" i="1" l="1"/>
  <c r="F92" i="1"/>
  <c r="A87" i="2"/>
  <c r="N92" i="1"/>
  <c r="K93" i="1" s="1"/>
  <c r="M99" i="1"/>
  <c r="J100" i="1" s="1"/>
  <c r="H99" i="1"/>
  <c r="F93" i="1" l="1"/>
  <c r="N93" i="1"/>
  <c r="K94" i="1" s="1"/>
  <c r="G93" i="1"/>
  <c r="M100" i="1"/>
  <c r="J101" i="1" s="1"/>
  <c r="H100" i="1"/>
  <c r="H101" i="1" l="1"/>
  <c r="M101" i="1"/>
  <c r="J102" i="1" s="1"/>
  <c r="F94" i="1"/>
  <c r="G94" i="1"/>
  <c r="A89" i="2"/>
  <c r="N94" i="1"/>
  <c r="K95" i="1" s="1"/>
  <c r="F95" i="1" l="1"/>
  <c r="N95" i="1"/>
  <c r="K96" i="1" s="1"/>
  <c r="G95" i="1"/>
  <c r="H102" i="1"/>
  <c r="M102" i="1"/>
  <c r="J103" i="1" s="1"/>
  <c r="H103" i="1" l="1"/>
  <c r="M103" i="1"/>
  <c r="J104" i="1" s="1"/>
  <c r="F96" i="1"/>
  <c r="A91" i="2"/>
  <c r="G96" i="1"/>
  <c r="N96" i="1"/>
  <c r="K97" i="1" s="1"/>
  <c r="G97" i="1" l="1"/>
  <c r="N97" i="1"/>
  <c r="K98" i="1" s="1"/>
  <c r="F97" i="1"/>
  <c r="H104" i="1"/>
  <c r="M104" i="1"/>
  <c r="J105" i="1" s="1"/>
  <c r="F98" i="1" l="1"/>
  <c r="A93" i="2"/>
  <c r="G98" i="1"/>
  <c r="N98" i="1"/>
  <c r="K99" i="1" s="1"/>
  <c r="H105" i="1"/>
  <c r="M105" i="1"/>
  <c r="J106" i="1" s="1"/>
  <c r="H106" i="1" l="1"/>
  <c r="M106" i="1"/>
  <c r="J107" i="1" s="1"/>
  <c r="N99" i="1"/>
  <c r="K100" i="1" s="1"/>
  <c r="F99" i="1"/>
  <c r="G99" i="1"/>
  <c r="A95" i="2" l="1"/>
  <c r="F100" i="1"/>
  <c r="G100" i="1"/>
  <c r="N100" i="1"/>
  <c r="K101" i="1" s="1"/>
  <c r="H107" i="1"/>
  <c r="M107" i="1"/>
  <c r="J108" i="1" s="1"/>
  <c r="H108" i="1" l="1"/>
  <c r="M108" i="1"/>
  <c r="J109" i="1" s="1"/>
  <c r="F101" i="1"/>
  <c r="N101" i="1"/>
  <c r="K102" i="1" s="1"/>
  <c r="G101" i="1"/>
  <c r="G102" i="1" l="1"/>
  <c r="F102" i="1"/>
  <c r="A97" i="2"/>
  <c r="N102" i="1"/>
  <c r="K103" i="1" s="1"/>
  <c r="H109" i="1"/>
  <c r="M109" i="1"/>
  <c r="J110" i="1" s="1"/>
  <c r="F103" i="1" l="1"/>
  <c r="N103" i="1"/>
  <c r="K104" i="1" s="1"/>
  <c r="G103" i="1"/>
  <c r="H110" i="1"/>
  <c r="M110" i="1"/>
  <c r="J111" i="1" s="1"/>
  <c r="H111" i="1" l="1"/>
  <c r="M111" i="1"/>
  <c r="J112" i="1" s="1"/>
  <c r="G104" i="1"/>
  <c r="A99" i="2"/>
  <c r="F104" i="1"/>
  <c r="N104" i="1"/>
  <c r="K105" i="1" s="1"/>
  <c r="G105" i="1" l="1"/>
  <c r="U105" i="1"/>
  <c r="F105" i="1"/>
  <c r="A100" i="2"/>
  <c r="N105" i="1"/>
  <c r="M112" i="1"/>
  <c r="J113" i="1" s="1"/>
  <c r="H112" i="1"/>
  <c r="H113" i="1" l="1"/>
  <c r="M113" i="1"/>
  <c r="J114" i="1" s="1"/>
  <c r="D100" i="2"/>
  <c r="E100" i="2"/>
  <c r="V105" i="1"/>
  <c r="K106" i="1"/>
  <c r="G106" i="1" l="1"/>
  <c r="F106" i="1"/>
  <c r="N106" i="1"/>
  <c r="K107" i="1" s="1"/>
  <c r="H114" i="1"/>
  <c r="M114" i="1"/>
  <c r="J115" i="1" s="1"/>
  <c r="A102" i="2" l="1"/>
  <c r="F107" i="1"/>
  <c r="G107" i="1"/>
  <c r="U107" i="1"/>
  <c r="N107" i="1"/>
  <c r="H115" i="1"/>
  <c r="M115" i="1"/>
  <c r="J116" i="1" s="1"/>
  <c r="H116" i="1" l="1"/>
  <c r="M116" i="1"/>
  <c r="J117" i="1" s="1"/>
  <c r="E102" i="2"/>
  <c r="D102" i="2"/>
  <c r="V107" i="1"/>
  <c r="K108" i="1"/>
  <c r="G108" i="1" l="1"/>
  <c r="F108" i="1"/>
  <c r="N108" i="1"/>
  <c r="K109" i="1" s="1"/>
  <c r="H117" i="1"/>
  <c r="M117" i="1"/>
  <c r="J118" i="1" s="1"/>
  <c r="G109" i="1" l="1"/>
  <c r="A104" i="2"/>
  <c r="N109" i="1"/>
  <c r="F109" i="1"/>
  <c r="U109" i="1"/>
  <c r="H118" i="1"/>
  <c r="M118" i="1"/>
  <c r="J119" i="1" s="1"/>
  <c r="H119" i="1" l="1"/>
  <c r="M119" i="1"/>
  <c r="J120" i="1" s="1"/>
  <c r="D104" i="2"/>
  <c r="E104" i="2"/>
  <c r="K110" i="1"/>
  <c r="V109" i="1"/>
  <c r="F110" i="1" l="1"/>
  <c r="G110" i="1"/>
  <c r="N110" i="1"/>
  <c r="K111" i="1" s="1"/>
  <c r="M120" i="1"/>
  <c r="J121" i="1" s="1"/>
  <c r="H120" i="1"/>
  <c r="H121" i="1" l="1"/>
  <c r="M121" i="1"/>
  <c r="J122" i="1" s="1"/>
  <c r="A106" i="2"/>
  <c r="N111" i="1"/>
  <c r="G111" i="1"/>
  <c r="U111" i="1"/>
  <c r="F111" i="1"/>
  <c r="E106" i="2" l="1"/>
  <c r="D106" i="2"/>
  <c r="V111" i="1"/>
  <c r="K112" i="1"/>
  <c r="H122" i="1"/>
  <c r="M122" i="1"/>
  <c r="J123" i="1" s="1"/>
  <c r="G112" i="1" l="1"/>
  <c r="F112" i="1"/>
  <c r="N112" i="1"/>
  <c r="K113" i="1" s="1"/>
  <c r="H123" i="1"/>
  <c r="M123" i="1"/>
  <c r="J124" i="1" s="1"/>
  <c r="A108" i="2" l="1"/>
  <c r="G113" i="1"/>
  <c r="U113" i="1"/>
  <c r="F113" i="1"/>
  <c r="N113" i="1"/>
  <c r="M124" i="1"/>
  <c r="J125" i="1" s="1"/>
  <c r="H124" i="1"/>
  <c r="H125" i="1" l="1"/>
  <c r="M125" i="1"/>
  <c r="J126" i="1" s="1"/>
  <c r="K114" i="1"/>
  <c r="V113" i="1"/>
  <c r="D108" i="2"/>
  <c r="E108" i="2"/>
  <c r="G114" i="1" l="1"/>
  <c r="F114" i="1"/>
  <c r="N114" i="1"/>
  <c r="K115" i="1" s="1"/>
  <c r="H126" i="1"/>
  <c r="M126" i="1"/>
  <c r="J127" i="1" s="1"/>
  <c r="U115" i="1" l="1"/>
  <c r="A110" i="2"/>
  <c r="F115" i="1"/>
  <c r="N115" i="1"/>
  <c r="G115" i="1"/>
  <c r="H127" i="1"/>
  <c r="M127" i="1"/>
  <c r="J128" i="1" s="1"/>
  <c r="V115" i="1" l="1"/>
  <c r="K116" i="1"/>
  <c r="E110" i="2"/>
  <c r="D110" i="2"/>
  <c r="H128" i="1"/>
  <c r="M128" i="1"/>
  <c r="J129" i="1" s="1"/>
  <c r="H129" i="1" l="1"/>
  <c r="M129" i="1"/>
  <c r="J130" i="1" s="1"/>
  <c r="A111" i="2"/>
  <c r="G116" i="1"/>
  <c r="F116" i="1"/>
  <c r="U116" i="1"/>
  <c r="N116" i="1"/>
  <c r="K117" i="1" s="1"/>
  <c r="F117" i="1" l="1"/>
  <c r="G117" i="1"/>
  <c r="N117" i="1"/>
  <c r="K118" i="1" s="1"/>
  <c r="E111" i="2"/>
  <c r="D111" i="2"/>
  <c r="H130" i="1"/>
  <c r="M130" i="1"/>
  <c r="J131" i="1" s="1"/>
  <c r="A113" i="2" l="1"/>
  <c r="F118" i="1"/>
  <c r="N118" i="1"/>
  <c r="G118" i="1"/>
  <c r="H131" i="1"/>
  <c r="M131" i="1"/>
  <c r="J132" i="1" s="1"/>
  <c r="I7" i="2" l="1"/>
  <c r="F119" i="1"/>
  <c r="N119" i="1"/>
  <c r="G119" i="1"/>
  <c r="H132" i="1"/>
  <c r="M132" i="1"/>
  <c r="J133" i="1" s="1"/>
  <c r="K120" i="1" l="1"/>
  <c r="F120" i="1" s="1"/>
  <c r="I8" i="2"/>
  <c r="H133" i="1"/>
  <c r="M133" i="1"/>
  <c r="J134" i="1" s="1"/>
  <c r="G120" i="1"/>
  <c r="A115" i="2" l="1"/>
  <c r="N120" i="1"/>
  <c r="K121" i="1" s="1"/>
  <c r="G121" i="1" s="1"/>
  <c r="F121" i="1"/>
  <c r="N121" i="1"/>
  <c r="K122" i="1" s="1"/>
  <c r="H134" i="1"/>
  <c r="M134" i="1"/>
  <c r="J135" i="1" s="1"/>
  <c r="H135" i="1" l="1"/>
  <c r="M135" i="1"/>
  <c r="J136" i="1" s="1"/>
  <c r="F122" i="1"/>
  <c r="A117" i="2"/>
  <c r="N122" i="1"/>
  <c r="K123" i="1" s="1"/>
  <c r="G122" i="1"/>
  <c r="F123" i="1" l="1"/>
  <c r="N123" i="1"/>
  <c r="K124" i="1" s="1"/>
  <c r="G123" i="1"/>
  <c r="H136" i="1"/>
  <c r="M136" i="1"/>
  <c r="J137" i="1" s="1"/>
  <c r="F124" i="1" l="1"/>
  <c r="G124" i="1"/>
  <c r="A119" i="2"/>
  <c r="N124" i="1"/>
  <c r="K125" i="1" s="1"/>
  <c r="H137" i="1"/>
  <c r="M137" i="1"/>
  <c r="J138" i="1" s="1"/>
  <c r="H138" i="1" l="1"/>
  <c r="M138" i="1"/>
  <c r="J139" i="1" s="1"/>
  <c r="F125" i="1"/>
  <c r="G125" i="1"/>
  <c r="N125" i="1"/>
  <c r="K126" i="1" s="1"/>
  <c r="G126" i="1" l="1"/>
  <c r="F126" i="1"/>
  <c r="S126" i="1"/>
  <c r="N126" i="1"/>
  <c r="M139" i="1"/>
  <c r="J140" i="1" s="1"/>
  <c r="H139" i="1"/>
  <c r="K127" i="1" l="1"/>
  <c r="T126" i="1"/>
  <c r="A121" i="2"/>
  <c r="B121" i="2"/>
  <c r="C121" i="2"/>
  <c r="H140" i="1"/>
  <c r="M140" i="1"/>
  <c r="J141" i="1" s="1"/>
  <c r="G127" i="1" l="1"/>
  <c r="N127" i="1"/>
  <c r="K128" i="1" s="1"/>
  <c r="F127" i="1"/>
  <c r="H141" i="1"/>
  <c r="M141" i="1"/>
  <c r="J142" i="1" s="1"/>
  <c r="H142" i="1" l="1"/>
  <c r="M142" i="1"/>
  <c r="J143" i="1" s="1"/>
  <c r="S128" i="1"/>
  <c r="G128" i="1"/>
  <c r="F128" i="1"/>
  <c r="N128" i="1"/>
  <c r="T128" i="1" l="1"/>
  <c r="K129" i="1"/>
  <c r="B123" i="2"/>
  <c r="A123" i="2"/>
  <c r="C123" i="2"/>
  <c r="H143" i="1"/>
  <c r="M143" i="1"/>
  <c r="J144" i="1" s="1"/>
  <c r="M144" i="1" l="1"/>
  <c r="J145" i="1" s="1"/>
  <c r="H144" i="1"/>
  <c r="F129" i="1"/>
  <c r="N129" i="1"/>
  <c r="K130" i="1" s="1"/>
  <c r="G129" i="1"/>
  <c r="G130" i="1" l="1"/>
  <c r="S130" i="1"/>
  <c r="F130" i="1"/>
  <c r="N130" i="1"/>
  <c r="H145" i="1"/>
  <c r="M145" i="1"/>
  <c r="J146" i="1" s="1"/>
  <c r="H146" i="1" l="1"/>
  <c r="M146" i="1"/>
  <c r="J147" i="1" s="1"/>
  <c r="K131" i="1"/>
  <c r="T130" i="1"/>
  <c r="C125" i="2"/>
  <c r="B125" i="2"/>
  <c r="A125" i="2"/>
  <c r="G131" i="1" l="1"/>
  <c r="F131" i="1"/>
  <c r="N131" i="1"/>
  <c r="K132" i="1" s="1"/>
  <c r="H147" i="1"/>
  <c r="M147" i="1"/>
  <c r="J148" i="1" s="1"/>
  <c r="H148" i="1" l="1"/>
  <c r="M148" i="1"/>
  <c r="J149" i="1" s="1"/>
  <c r="G132" i="1"/>
  <c r="F132" i="1"/>
  <c r="S132" i="1"/>
  <c r="N132" i="1"/>
  <c r="T132" i="1" l="1"/>
  <c r="K133" i="1"/>
  <c r="B127" i="2"/>
  <c r="C127" i="2"/>
  <c r="A127" i="2"/>
  <c r="H149" i="1"/>
  <c r="M149" i="1"/>
  <c r="J150" i="1" s="1"/>
  <c r="F133" i="1" l="1"/>
  <c r="N133" i="1"/>
  <c r="K134" i="1" s="1"/>
  <c r="G133" i="1"/>
  <c r="H150" i="1"/>
  <c r="M150" i="1"/>
  <c r="J151" i="1" s="1"/>
  <c r="H151" i="1" l="1"/>
  <c r="M151" i="1"/>
  <c r="J152" i="1" s="1"/>
  <c r="F134" i="1"/>
  <c r="G134" i="1"/>
  <c r="S134" i="1"/>
  <c r="N134" i="1"/>
  <c r="A129" i="2" l="1"/>
  <c r="B129" i="2"/>
  <c r="C129" i="2"/>
  <c r="K135" i="1"/>
  <c r="T134" i="1"/>
  <c r="H152" i="1"/>
  <c r="M152" i="1"/>
  <c r="J153" i="1" s="1"/>
  <c r="H153" i="1" l="1"/>
  <c r="M153" i="1"/>
  <c r="J154" i="1" s="1"/>
  <c r="N135" i="1"/>
  <c r="K136" i="1" s="1"/>
  <c r="G135" i="1"/>
  <c r="F135" i="1"/>
  <c r="F136" i="1" l="1"/>
  <c r="S136" i="1"/>
  <c r="G136" i="1"/>
  <c r="N136" i="1"/>
  <c r="H154" i="1"/>
  <c r="M154" i="1"/>
  <c r="J155" i="1" s="1"/>
  <c r="H155" i="1" l="1"/>
  <c r="M155" i="1"/>
  <c r="J156" i="1" s="1"/>
  <c r="T136" i="1"/>
  <c r="K137" i="1"/>
  <c r="C131" i="2"/>
  <c r="A131" i="2"/>
  <c r="B131" i="2"/>
  <c r="F137" i="1" l="1"/>
  <c r="G137" i="1"/>
  <c r="N137" i="1"/>
  <c r="K138" i="1" s="1"/>
  <c r="H156" i="1"/>
  <c r="M156" i="1"/>
  <c r="J157" i="1" s="1"/>
  <c r="M157" i="1" l="1"/>
  <c r="J158" i="1" s="1"/>
  <c r="H157" i="1"/>
  <c r="G138" i="1"/>
  <c r="N138" i="1"/>
  <c r="F138" i="1"/>
  <c r="S138" i="1"/>
  <c r="T138" i="1" l="1"/>
  <c r="K139" i="1"/>
  <c r="H158" i="1"/>
  <c r="M158" i="1"/>
  <c r="J159" i="1" s="1"/>
  <c r="B133" i="2"/>
  <c r="A133" i="2"/>
  <c r="C133" i="2"/>
  <c r="G139" i="1" l="1"/>
  <c r="N139" i="1"/>
  <c r="K140" i="1" s="1"/>
  <c r="F139" i="1"/>
  <c r="H159" i="1"/>
  <c r="M159" i="1"/>
  <c r="J160" i="1" s="1"/>
  <c r="H160" i="1" l="1"/>
  <c r="M160" i="1"/>
  <c r="J161" i="1" s="1"/>
  <c r="U140" i="1"/>
  <c r="F140" i="1"/>
  <c r="S140" i="1"/>
  <c r="G140" i="1"/>
  <c r="N140" i="1"/>
  <c r="T140" i="1" l="1"/>
  <c r="V140" i="1"/>
  <c r="K141" i="1"/>
  <c r="A135" i="2"/>
  <c r="B135" i="2"/>
  <c r="C135" i="2"/>
  <c r="E135" i="2"/>
  <c r="D135" i="2"/>
  <c r="H161" i="1"/>
  <c r="M161" i="1"/>
  <c r="J162" i="1" s="1"/>
  <c r="F141" i="1" l="1"/>
  <c r="G141" i="1"/>
  <c r="N141" i="1"/>
  <c r="K142" i="1" s="1"/>
  <c r="H162" i="1"/>
  <c r="M162" i="1"/>
  <c r="J163" i="1" s="1"/>
  <c r="G142" i="1" l="1"/>
  <c r="F142" i="1"/>
  <c r="S142" i="1"/>
  <c r="U142" i="1"/>
  <c r="N142" i="1"/>
  <c r="H163" i="1"/>
  <c r="M163" i="1"/>
  <c r="J164" i="1" s="1"/>
  <c r="M164" i="1" l="1"/>
  <c r="J165" i="1" s="1"/>
  <c r="H164" i="1"/>
  <c r="D137" i="2"/>
  <c r="E137" i="2"/>
  <c r="B137" i="2"/>
  <c r="C137" i="2"/>
  <c r="A137" i="2"/>
  <c r="V142" i="1"/>
  <c r="K143" i="1"/>
  <c r="T142" i="1"/>
  <c r="M165" i="1" l="1"/>
  <c r="J166" i="1" s="1"/>
  <c r="H165" i="1"/>
  <c r="F143" i="1"/>
  <c r="N143" i="1"/>
  <c r="K144" i="1" s="1"/>
  <c r="G143" i="1"/>
  <c r="G144" i="1" l="1"/>
  <c r="F144" i="1"/>
  <c r="U144" i="1"/>
  <c r="S144" i="1"/>
  <c r="N144" i="1"/>
  <c r="M166" i="1"/>
  <c r="J167" i="1" s="1"/>
  <c r="H166" i="1"/>
  <c r="H167" i="1" l="1"/>
  <c r="M167" i="1"/>
  <c r="J168" i="1" s="1"/>
  <c r="C139" i="2"/>
  <c r="B139" i="2"/>
  <c r="A139" i="2"/>
  <c r="E139" i="2"/>
  <c r="D139" i="2"/>
  <c r="V144" i="1"/>
  <c r="T144" i="1"/>
  <c r="K145" i="1"/>
  <c r="G145" i="1" l="1"/>
  <c r="F145" i="1"/>
  <c r="N145" i="1"/>
  <c r="K146" i="1" s="1"/>
  <c r="H168" i="1"/>
  <c r="M168" i="1"/>
  <c r="J169" i="1" s="1"/>
  <c r="U146" i="1" l="1"/>
  <c r="F146" i="1"/>
  <c r="G146" i="1"/>
  <c r="S146" i="1"/>
  <c r="N146" i="1"/>
  <c r="H169" i="1"/>
  <c r="M169" i="1"/>
  <c r="J170" i="1" s="1"/>
  <c r="H170" i="1" l="1"/>
  <c r="M170" i="1"/>
  <c r="J171" i="1" s="1"/>
  <c r="A141" i="2"/>
  <c r="B141" i="2"/>
  <c r="C141" i="2"/>
  <c r="T146" i="1"/>
  <c r="K147" i="1"/>
  <c r="V146" i="1"/>
  <c r="D141" i="2"/>
  <c r="E141" i="2"/>
  <c r="G147" i="1" l="1"/>
  <c r="N147" i="1"/>
  <c r="K148" i="1" s="1"/>
  <c r="F147" i="1"/>
  <c r="H171" i="1"/>
  <c r="M171" i="1"/>
  <c r="J172" i="1" s="1"/>
  <c r="H172" i="1" l="1"/>
  <c r="M172" i="1"/>
  <c r="J173" i="1" s="1"/>
  <c r="G148" i="1"/>
  <c r="F148" i="1"/>
  <c r="S148" i="1"/>
  <c r="U148" i="1"/>
  <c r="N148" i="1"/>
  <c r="T148" i="1" l="1"/>
  <c r="V148" i="1"/>
  <c r="K149" i="1"/>
  <c r="E143" i="2"/>
  <c r="D143" i="2"/>
  <c r="C143" i="2"/>
  <c r="A143" i="2"/>
  <c r="B143" i="2"/>
  <c r="M173" i="1"/>
  <c r="J174" i="1" s="1"/>
  <c r="H173" i="1"/>
  <c r="M174" i="1" l="1"/>
  <c r="J175" i="1" s="1"/>
  <c r="H174" i="1"/>
  <c r="G149" i="1"/>
  <c r="N149" i="1"/>
  <c r="K150" i="1" s="1"/>
  <c r="F149" i="1"/>
  <c r="F150" i="1" l="1"/>
  <c r="S150" i="1"/>
  <c r="G150" i="1"/>
  <c r="U150" i="1"/>
  <c r="N150" i="1"/>
  <c r="H175" i="1"/>
  <c r="M175" i="1"/>
  <c r="K151" i="1" l="1"/>
  <c r="T150" i="1"/>
  <c r="V150" i="1"/>
  <c r="B145" i="2"/>
  <c r="A145" i="2"/>
  <c r="C145" i="2"/>
  <c r="E145" i="2"/>
  <c r="D145" i="2"/>
  <c r="F151" i="1" l="1"/>
  <c r="N151" i="1"/>
  <c r="K152" i="1" s="1"/>
  <c r="G151" i="1"/>
  <c r="S152" i="1" l="1"/>
  <c r="F152" i="1"/>
  <c r="G152" i="1"/>
  <c r="N152" i="1"/>
  <c r="U152" i="1"/>
  <c r="V152" i="1" l="1"/>
  <c r="T152" i="1"/>
  <c r="K153" i="1"/>
  <c r="E147" i="2"/>
  <c r="D147" i="2"/>
  <c r="C147" i="2"/>
  <c r="A147" i="2"/>
  <c r="B147" i="2"/>
  <c r="F153" i="1" l="1"/>
  <c r="G153" i="1"/>
  <c r="N153" i="1"/>
  <c r="K154" i="1" s="1"/>
  <c r="U154" i="1" l="1"/>
  <c r="F154" i="1"/>
  <c r="S154" i="1"/>
  <c r="G154" i="1"/>
  <c r="N154" i="1"/>
  <c r="A149" i="2" l="1"/>
  <c r="B149" i="2"/>
  <c r="C149" i="2"/>
  <c r="E149" i="2"/>
  <c r="D149" i="2"/>
  <c r="V154" i="1"/>
  <c r="T154" i="1"/>
  <c r="K155" i="1"/>
  <c r="N155" i="1" l="1"/>
  <c r="K156" i="1" s="1"/>
  <c r="G155" i="1"/>
  <c r="F155" i="1"/>
  <c r="G156" i="1" l="1"/>
  <c r="U156" i="1"/>
  <c r="F156" i="1"/>
  <c r="N156" i="1"/>
  <c r="S156" i="1"/>
  <c r="A151" i="2" l="1"/>
  <c r="C151" i="2"/>
  <c r="B151" i="2"/>
  <c r="V156" i="1"/>
  <c r="K157" i="1"/>
  <c r="T156" i="1"/>
  <c r="E151" i="2"/>
  <c r="D151" i="2"/>
  <c r="G157" i="1" l="1"/>
  <c r="F157" i="1"/>
  <c r="N157" i="1"/>
  <c r="K158" i="1" s="1"/>
  <c r="F158" i="1" l="1"/>
  <c r="U158" i="1"/>
  <c r="G158" i="1"/>
  <c r="S158" i="1"/>
  <c r="N158" i="1"/>
  <c r="V158" i="1" l="1"/>
  <c r="T158" i="1"/>
  <c r="K159" i="1"/>
  <c r="A153" i="2"/>
  <c r="C153" i="2"/>
  <c r="B153" i="2"/>
  <c r="D153" i="2"/>
  <c r="E153" i="2"/>
  <c r="F159" i="1" l="1"/>
  <c r="G159" i="1"/>
  <c r="N159" i="1"/>
  <c r="K160" i="1" s="1"/>
  <c r="G160" i="1" l="1"/>
  <c r="U160" i="1"/>
  <c r="S160" i="1"/>
  <c r="N160" i="1"/>
  <c r="F160" i="1"/>
  <c r="V160" i="1" l="1"/>
  <c r="T160" i="1"/>
  <c r="K161" i="1"/>
  <c r="B155" i="2"/>
  <c r="A155" i="2"/>
  <c r="C155" i="2"/>
  <c r="E155" i="2"/>
  <c r="D155" i="2"/>
  <c r="G161" i="1" l="1"/>
  <c r="F161" i="1"/>
  <c r="N161" i="1"/>
  <c r="K162" i="1" s="1"/>
  <c r="F162" i="1" l="1"/>
  <c r="G162" i="1"/>
  <c r="S162" i="1"/>
  <c r="U162" i="1"/>
  <c r="N162" i="1"/>
  <c r="A157" i="2" l="1"/>
  <c r="C157" i="2"/>
  <c r="B157" i="2"/>
  <c r="T162" i="1"/>
  <c r="V162" i="1"/>
  <c r="K163" i="1"/>
  <c r="D157" i="2"/>
  <c r="E157" i="2"/>
  <c r="G163" i="1" l="1"/>
  <c r="N163" i="1"/>
  <c r="K164" i="1" s="1"/>
  <c r="F163" i="1"/>
  <c r="G164" i="1" l="1"/>
  <c r="F164" i="1"/>
  <c r="S164" i="1"/>
  <c r="N164" i="1"/>
  <c r="U164" i="1"/>
  <c r="B159" i="2" l="1"/>
  <c r="A159" i="2"/>
  <c r="C159" i="2"/>
  <c r="D159" i="2"/>
  <c r="E159" i="2"/>
  <c r="V164" i="1"/>
  <c r="T164" i="1"/>
  <c r="K165" i="1"/>
  <c r="G165" i="1" l="1"/>
  <c r="F165" i="1"/>
  <c r="N165" i="1"/>
  <c r="K166" i="1" s="1"/>
  <c r="S166" i="1" l="1"/>
  <c r="G166" i="1"/>
  <c r="U166" i="1"/>
  <c r="N166" i="1"/>
  <c r="F166" i="1"/>
  <c r="T166" i="1" l="1"/>
  <c r="V166" i="1"/>
  <c r="K167" i="1"/>
  <c r="D161" i="2"/>
  <c r="E161" i="2"/>
  <c r="B161" i="2"/>
  <c r="A161" i="2"/>
  <c r="C161" i="2"/>
  <c r="F167" i="1" l="1"/>
  <c r="N167" i="1"/>
  <c r="K168" i="1" s="1"/>
  <c r="G167" i="1"/>
  <c r="S168" i="1" l="1"/>
  <c r="G168" i="1"/>
  <c r="N168" i="1"/>
  <c r="U168" i="1"/>
  <c r="F168" i="1"/>
  <c r="E163" i="2" l="1"/>
  <c r="D163" i="2"/>
  <c r="V168" i="1"/>
  <c r="T168" i="1"/>
  <c r="K169" i="1"/>
  <c r="A163" i="2"/>
  <c r="B163" i="2"/>
  <c r="C163" i="2"/>
  <c r="G169" i="1" l="1"/>
  <c r="F169" i="1"/>
  <c r="N169" i="1"/>
  <c r="K170" i="1" s="1"/>
  <c r="S170" i="1" l="1"/>
  <c r="G170" i="1"/>
  <c r="F170" i="1"/>
  <c r="U170" i="1"/>
  <c r="N170" i="1"/>
  <c r="D165" i="2" l="1"/>
  <c r="E165" i="2"/>
  <c r="V170" i="1"/>
  <c r="T170" i="1"/>
  <c r="K171" i="1"/>
  <c r="A165" i="2"/>
  <c r="B165" i="2"/>
  <c r="C165" i="2"/>
  <c r="G171" i="1" l="1"/>
  <c r="F171" i="1"/>
  <c r="N171" i="1"/>
  <c r="K172" i="1" s="1"/>
  <c r="G172" i="1" l="1"/>
  <c r="S172" i="1"/>
  <c r="F172" i="1"/>
  <c r="N172" i="1"/>
  <c r="U172" i="1"/>
  <c r="D167" i="2" l="1"/>
  <c r="E167" i="2"/>
  <c r="C167" i="2"/>
  <c r="A167" i="2"/>
  <c r="B167" i="2"/>
  <c r="T172" i="1"/>
  <c r="V172" i="1"/>
  <c r="K173" i="1"/>
  <c r="G173" i="1" l="1"/>
  <c r="F173" i="1"/>
  <c r="N173" i="1"/>
  <c r="K174" i="1" s="1"/>
  <c r="G174" i="1" l="1"/>
  <c r="U174" i="1"/>
  <c r="F174" i="1"/>
  <c r="N174" i="1"/>
  <c r="S174" i="1"/>
  <c r="B169" i="2" l="1"/>
  <c r="C169" i="2"/>
  <c r="A169" i="2"/>
  <c r="D169" i="2"/>
  <c r="E169" i="2"/>
  <c r="T174" i="1"/>
  <c r="V174" i="1"/>
  <c r="E170" i="2" l="1"/>
  <c r="D170" i="2"/>
  <c r="F175" i="1"/>
  <c r="I9" i="2"/>
  <c r="N175" i="1"/>
  <c r="I10" i="2" s="1"/>
  <c r="G175" i="1"/>
  <c r="C170" i="2"/>
  <c r="B170" i="2"/>
</calcChain>
</file>

<file path=xl/sharedStrings.xml><?xml version="1.0" encoding="utf-8"?>
<sst xmlns="http://schemas.openxmlformats.org/spreadsheetml/2006/main" count="681" uniqueCount="277">
  <si>
    <t>CSPEC</t>
  </si>
  <si>
    <t>ESS coordinate systems</t>
  </si>
  <si>
    <t>W3 beamline angle (°)</t>
  </si>
  <si>
    <t>ISCS insert direction angle (°)</t>
  </si>
  <si>
    <t>(rad)</t>
  </si>
  <si>
    <t>TCS</t>
  </si>
  <si>
    <t>(mm)</t>
  </si>
  <si>
    <t>McStas</t>
  </si>
  <si>
    <t>(m)</t>
  </si>
  <si>
    <t>ISCS</t>
  </si>
  <si>
    <t>x</t>
  </si>
  <si>
    <t>y</t>
  </si>
  <si>
    <t>z</t>
  </si>
  <si>
    <t>given points</t>
  </si>
  <si>
    <t>Focal Point (FP)</t>
  </si>
  <si>
    <t>Cold Centre (CC)</t>
  </si>
  <si>
    <t>ISCS origin</t>
  </si>
  <si>
    <t>calculated</t>
  </si>
  <si>
    <t>Start of guide PD</t>
  </si>
  <si>
    <t>Start of guide NBOA</t>
  </si>
  <si>
    <t>Section</t>
  </si>
  <si>
    <t>Section PD</t>
  </si>
  <si>
    <t>substrate</t>
  </si>
  <si>
    <t>Element #</t>
  </si>
  <si>
    <t>Cu</t>
  </si>
  <si>
    <t>z start</t>
  </si>
  <si>
    <t>z end</t>
  </si>
  <si>
    <t>GAP BW1</t>
  </si>
  <si>
    <t>GAP BW2</t>
  </si>
  <si>
    <t>GAP LS</t>
  </si>
  <si>
    <t>Comment</t>
  </si>
  <si>
    <t>Borfloat</t>
  </si>
  <si>
    <t>? Na Float</t>
  </si>
  <si>
    <t>inf</t>
  </si>
  <si>
    <t>a</t>
  </si>
  <si>
    <t>b</t>
  </si>
  <si>
    <t>c</t>
  </si>
  <si>
    <t>d</t>
  </si>
  <si>
    <t>Ellipse Parameters:</t>
  </si>
  <si>
    <t>width</t>
  </si>
  <si>
    <t xml:space="preserve">a </t>
  </si>
  <si>
    <t>heigth</t>
  </si>
  <si>
    <t>GAP PS Chopper</t>
  </si>
  <si>
    <t>NO-Gap</t>
  </si>
  <si>
    <t>In Mcstas</t>
  </si>
  <si>
    <t>y_in/2</t>
  </si>
  <si>
    <t>height</t>
  </si>
  <si>
    <t>-</t>
  </si>
  <si>
    <t>end of vertical ellipse</t>
  </si>
  <si>
    <t>xmin</t>
  </si>
  <si>
    <t>xmax</t>
  </si>
  <si>
    <t>ymin</t>
  </si>
  <si>
    <t>ymax</t>
  </si>
  <si>
    <t>BW1 end</t>
  </si>
  <si>
    <t>BW1 start</t>
  </si>
  <si>
    <t>BW2 end</t>
  </si>
  <si>
    <t>BW2 start</t>
  </si>
  <si>
    <t>PS start</t>
  </si>
  <si>
    <t>PS end</t>
  </si>
  <si>
    <t>M start</t>
  </si>
  <si>
    <t>M end</t>
  </si>
  <si>
    <t>Vacuumtube #</t>
  </si>
  <si>
    <t>V01</t>
  </si>
  <si>
    <t>V02</t>
  </si>
  <si>
    <t>V03</t>
  </si>
  <si>
    <t>V_BW1</t>
  </si>
  <si>
    <t>V_BW2</t>
  </si>
  <si>
    <t>V04</t>
  </si>
  <si>
    <t>V05</t>
  </si>
  <si>
    <t>V06</t>
  </si>
  <si>
    <t>the gap for BW1 has to be verified</t>
  </si>
  <si>
    <t>the gap for BW2 has to be verified</t>
  </si>
  <si>
    <t>constant section!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</si>
  <si>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</si>
  <si>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</si>
  <si>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</si>
  <si>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</si>
  <si>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</si>
  <si>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</si>
  <si>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</si>
  <si>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</si>
  <si>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</si>
  <si>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vertically convergent</t>
  </si>
  <si>
    <t xml:space="preserve">vertical + horizontal </t>
  </si>
  <si>
    <t>divergent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</si>
  <si>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</si>
  <si>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</si>
  <si>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</si>
  <si>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</si>
  <si>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</si>
  <si>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</si>
  <si>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</si>
  <si>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</si>
  <si>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</si>
  <si>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V_PS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</si>
  <si>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</si>
  <si>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</si>
  <si>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</si>
  <si>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</si>
  <si>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</si>
  <si>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</si>
  <si>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</si>
  <si>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</si>
  <si>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</si>
  <si>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</si>
  <si>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</si>
  <si>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</si>
  <si>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</si>
  <si>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horizontal convergent /</t>
  </si>
  <si>
    <t>vertical constant</t>
  </si>
  <si>
    <t>W03-01-011</t>
  </si>
  <si>
    <t>W03-01-012</t>
  </si>
  <si>
    <t>W03-01-021</t>
  </si>
  <si>
    <t>W03-01-022</t>
  </si>
  <si>
    <t>W03-01-031</t>
  </si>
  <si>
    <t>W03-01-032</t>
  </si>
  <si>
    <t>W03-01-033</t>
  </si>
  <si>
    <t>W03-02-01</t>
  </si>
  <si>
    <t>W03-03-01</t>
  </si>
  <si>
    <t>W03-03-02</t>
  </si>
  <si>
    <t>W03-04-03</t>
  </si>
  <si>
    <t>W03-04-04</t>
  </si>
  <si>
    <t>W03-04-01</t>
  </si>
  <si>
    <t>W03-04-02</t>
  </si>
  <si>
    <t>W03-04-05</t>
  </si>
  <si>
    <t>W03-04-06</t>
  </si>
  <si>
    <t>W03-04-07</t>
  </si>
  <si>
    <t>W03-04-08</t>
  </si>
  <si>
    <t>W03-04-09</t>
  </si>
  <si>
    <t>W03-04-10</t>
  </si>
  <si>
    <t>W03-04-11</t>
  </si>
  <si>
    <t>NBOA Bender</t>
  </si>
  <si>
    <t>14m in total!</t>
  </si>
  <si>
    <t>24.957m in total</t>
  </si>
  <si>
    <t>W03-05-02</t>
  </si>
  <si>
    <t>W03-06-01</t>
  </si>
  <si>
    <t>W03-06-02</t>
  </si>
  <si>
    <t>W03-07-01</t>
  </si>
  <si>
    <t>M-Chopper</t>
  </si>
  <si>
    <t>V_M</t>
  </si>
  <si>
    <t>x start</t>
  </si>
  <si>
    <t>y start</t>
  </si>
  <si>
    <t>phi(y)</t>
  </si>
  <si>
    <t>ISCS [mm]</t>
  </si>
  <si>
    <t>here direkt McStas to ISCS</t>
  </si>
  <si>
    <t>McStas [m]</t>
  </si>
  <si>
    <t>Pascale Deen's onset of neutron guide system McStas</t>
  </si>
  <si>
    <t>BW1pos</t>
  </si>
  <si>
    <t xml:space="preserve"> bw1x</t>
  </si>
  <si>
    <t>bw1y</t>
  </si>
  <si>
    <t>bw1z</t>
  </si>
  <si>
    <t>BW2pos</t>
  </si>
  <si>
    <t>bw2x</t>
  </si>
  <si>
    <t>bw2y</t>
  </si>
  <si>
    <t>bw2z</t>
  </si>
  <si>
    <t>x end</t>
  </si>
  <si>
    <t>y end</t>
  </si>
  <si>
    <t>chi(x)</t>
  </si>
  <si>
    <t>BW3pos</t>
  </si>
  <si>
    <t>bw3x</t>
  </si>
  <si>
    <t>bw3y</t>
  </si>
  <si>
    <t>bw3z</t>
  </si>
  <si>
    <t>pos1x</t>
  </si>
  <si>
    <t>ps1y</t>
  </si>
  <si>
    <t>ps1z</t>
  </si>
  <si>
    <t>ps1pos</t>
  </si>
  <si>
    <t>m1pos</t>
  </si>
  <si>
    <t>m1x</t>
  </si>
  <si>
    <t>m1y</t>
  </si>
  <si>
    <t>m1z</t>
  </si>
  <si>
    <t>eobpos</t>
  </si>
  <si>
    <t>eobx</t>
  </si>
  <si>
    <t>eoby</t>
  </si>
  <si>
    <t>eobz</t>
  </si>
  <si>
    <t>Light Shutter</t>
  </si>
  <si>
    <t>Cu?</t>
  </si>
  <si>
    <t>Bunker wall outside plane section point</t>
  </si>
  <si>
    <t>bunkerx</t>
  </si>
  <si>
    <t>bunkery</t>
  </si>
  <si>
    <t>bunkerz</t>
  </si>
  <si>
    <t>Bunker Wall</t>
  </si>
  <si>
    <t>to be defined</t>
  </si>
  <si>
    <t>Lenght of Bender part 1:</t>
  </si>
  <si>
    <t>Length of bender part 2:</t>
  </si>
  <si>
    <t>trajectory (m)</t>
  </si>
  <si>
    <t>W03-04-12</t>
  </si>
  <si>
    <t>turnover of S</t>
  </si>
  <si>
    <t>11m long !</t>
  </si>
  <si>
    <t>5m</t>
  </si>
  <si>
    <t>end of S-Bender should be 2 x26m + straight length before bender</t>
  </si>
  <si>
    <t>m -value</t>
  </si>
  <si>
    <t>top</t>
  </si>
  <si>
    <t>bottom</t>
  </si>
  <si>
    <t>left</t>
  </si>
  <si>
    <t>right</t>
  </si>
  <si>
    <t>Curvature</t>
  </si>
  <si>
    <t>hor. (m)</t>
  </si>
  <si>
    <t>vert. (m)</t>
  </si>
  <si>
    <t>Cross section dimensions (mm)</t>
  </si>
  <si>
    <t>width exit</t>
  </si>
  <si>
    <t>height entry</t>
  </si>
  <si>
    <t>height exit</t>
  </si>
  <si>
    <t>width entry</t>
  </si>
  <si>
    <t>M-Chopper nominal position: 158,495</t>
  </si>
  <si>
    <t>PS Chopper position: 105.665</t>
  </si>
  <si>
    <t>W03-05-14</t>
  </si>
  <si>
    <t>W03-05-15</t>
  </si>
  <si>
    <t>W03-05-16</t>
  </si>
  <si>
    <t>W03-05-17</t>
  </si>
  <si>
    <t>W03-05-18</t>
  </si>
  <si>
    <t>W03-05-19</t>
  </si>
  <si>
    <t>W03-05-20</t>
  </si>
  <si>
    <t>W03-05-21</t>
  </si>
  <si>
    <t>W03-05-22</t>
  </si>
  <si>
    <t>W03-05-23</t>
  </si>
  <si>
    <t>W03-05-24</t>
  </si>
  <si>
    <t>W03-05-25</t>
  </si>
  <si>
    <t>W03-05-26</t>
  </si>
  <si>
    <t>W03-05-27</t>
  </si>
  <si>
    <t>W03-05-28</t>
  </si>
  <si>
    <t>W03-05-29</t>
  </si>
  <si>
    <t>W03-05-30</t>
  </si>
  <si>
    <t>W03-05-31</t>
  </si>
  <si>
    <t>W03-05-32</t>
  </si>
  <si>
    <t>W03-05-34</t>
  </si>
  <si>
    <t>W03-05-35</t>
  </si>
  <si>
    <t>W03-05-36</t>
  </si>
  <si>
    <t>W03-05-37</t>
  </si>
  <si>
    <t>W03-07-02</t>
  </si>
  <si>
    <t>W03-07-03</t>
  </si>
  <si>
    <t>W03-07-04</t>
  </si>
  <si>
    <t>W03-07-05</t>
  </si>
  <si>
    <t>W03-07-06</t>
  </si>
  <si>
    <t>W03-07-07</t>
  </si>
  <si>
    <t>W03-07-08</t>
  </si>
  <si>
    <t>W03-07-09</t>
  </si>
  <si>
    <t>W03-07-10</t>
  </si>
  <si>
    <t>W03-07-11</t>
  </si>
  <si>
    <t>W03-07-12</t>
  </si>
  <si>
    <t>W03-07-13</t>
  </si>
  <si>
    <t>W03-07-14</t>
  </si>
  <si>
    <t>W03-07-15</t>
  </si>
  <si>
    <t>W03-07-16</t>
  </si>
  <si>
    <t>W03-07-17</t>
  </si>
  <si>
    <t>W03-07-18</t>
  </si>
  <si>
    <t>W03-07-19</t>
  </si>
  <si>
    <t>W03-07-20</t>
  </si>
  <si>
    <t>W03-07-21</t>
  </si>
  <si>
    <t>W03-07-22</t>
  </si>
  <si>
    <t>W03-07-23</t>
  </si>
  <si>
    <t>W03-07-24</t>
  </si>
  <si>
    <t>W03-07-25</t>
  </si>
  <si>
    <t>W03-07-26</t>
  </si>
  <si>
    <t>W03-08-01</t>
  </si>
  <si>
    <t>W03-05-011</t>
  </si>
  <si>
    <t>W03-05-012</t>
  </si>
  <si>
    <t>W03-05-03</t>
  </si>
  <si>
    <t>W03-05-04</t>
  </si>
  <si>
    <t>W03-05-05</t>
  </si>
  <si>
    <t>W03-05-06</t>
  </si>
  <si>
    <t>W03-05-07</t>
  </si>
  <si>
    <t>W03-05-08</t>
  </si>
  <si>
    <t>W03-05-09</t>
  </si>
  <si>
    <t>W03-05-10</t>
  </si>
  <si>
    <t>W03-05-11</t>
  </si>
  <si>
    <t>W03-05-12</t>
  </si>
  <si>
    <t>W03-05-13</t>
  </si>
  <si>
    <t>W03-05-331</t>
  </si>
  <si>
    <t>W03-05-332</t>
  </si>
  <si>
    <t>W03-05-381</t>
  </si>
  <si>
    <t>W03-05-382</t>
  </si>
  <si>
    <t>length (m)</t>
  </si>
  <si>
    <t>Ellipse Parameters 2:</t>
  </si>
  <si>
    <t>c1_entrance</t>
  </si>
  <si>
    <t>c1_axis_a</t>
  </si>
  <si>
    <t>c1_axis_b</t>
  </si>
  <si>
    <t>c1_elength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</si>
</sst>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000"/>
    <numFmt numFmtId="166" formatCode="0.0"/>
    <numFmt numFmtId="167" formatCode="0.000"/>
    <numFmt numFmtId="168" formatCode="_-* #,##0.000\ _€_-;\-* #,##0.000\ _€_-;_-* &quot;-&quot;??\ _€_-;_-@_-"/>
    <numFmt numFmtId="169" formatCode="_-* #,##0.0\ _€_-;\-* #,##0.0\ _€_-;_-* &quot;-&quot;??\ _€_-;_-@_-"/>
    <numFmt numFmtId="170" formatCode="0.00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164" fontId="3" fillId="0" borderId="0" applyFont="0" applyFill="0" applyBorder="0" applyAlignment="0" applyProtection="0"/>
  </cellStyleXfs>
  <cellXfs count="494">
    <xf numFmtId="0" fontId="0" fillId="0" borderId="0" xfId="0"/>
    <xf numFmtId="0" fontId="1" fillId="2" borderId="0" xfId="1"/>
    <xf numFmtId="0" fontId="1" fillId="2" borderId="0" xfId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5" fontId="2" fillId="3" borderId="1" xfId="2" applyNumberFormat="1"/>
    <xf numFmtId="165" fontId="0" fillId="0" borderId="0" xfId="0" applyNumberFormat="1"/>
    <xf numFmtId="166" fontId="2" fillId="3" borderId="1" xfId="2" applyNumberFormat="1"/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7" borderId="0" xfId="0" applyFill="1" applyAlignment="1">
      <alignment horizontal="left"/>
    </xf>
    <xf numFmtId="167" fontId="4" fillId="6" borderId="0" xfId="3" applyNumberFormat="1" applyFont="1" applyFill="1" applyAlignment="1">
      <alignment horizontal="center" vertical="center"/>
    </xf>
    <xf numFmtId="167" fontId="0" fillId="10" borderId="0" xfId="3" applyNumberFormat="1" applyFont="1" applyFill="1" applyAlignment="1">
      <alignment horizontal="center" vertical="center"/>
    </xf>
    <xf numFmtId="167" fontId="0" fillId="11" borderId="0" xfId="0" applyNumberFormat="1" applyFill="1" applyAlignment="1">
      <alignment horizontal="center" vertical="center"/>
    </xf>
    <xf numFmtId="167" fontId="0" fillId="0" borderId="0" xfId="3" applyNumberFormat="1" applyFont="1" applyAlignment="1">
      <alignment horizontal="center" vertical="center"/>
    </xf>
    <xf numFmtId="168" fontId="0" fillId="18" borderId="3" xfId="3" applyNumberFormat="1" applyFon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168" fontId="0" fillId="18" borderId="0" xfId="3" applyNumberFormat="1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168" fontId="0" fillId="18" borderId="8" xfId="3" applyNumberFormat="1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18" borderId="5" xfId="3" applyNumberFormat="1" applyFont="1" applyFill="1" applyBorder="1" applyAlignment="1">
      <alignment horizontal="center"/>
    </xf>
    <xf numFmtId="0" fontId="0" fillId="18" borderId="0" xfId="3" applyNumberFormat="1" applyFont="1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8" fontId="0" fillId="4" borderId="3" xfId="3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8" fontId="0" fillId="5" borderId="0" xfId="3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8" fontId="0" fillId="4" borderId="8" xfId="3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7" fontId="0" fillId="7" borderId="0" xfId="3" applyNumberFormat="1" applyFont="1" applyFill="1" applyBorder="1" applyAlignment="1">
      <alignment horizontal="center" vertical="center"/>
    </xf>
    <xf numFmtId="168" fontId="0" fillId="7" borderId="0" xfId="3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9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7" fontId="0" fillId="9" borderId="0" xfId="3" applyNumberFormat="1" applyFont="1" applyFill="1" applyBorder="1" applyAlignment="1">
      <alignment horizontal="center" vertical="center"/>
    </xf>
    <xf numFmtId="168" fontId="0" fillId="9" borderId="0" xfId="3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7" fontId="0" fillId="8" borderId="8" xfId="3" applyNumberFormat="1" applyFont="1" applyFill="1" applyBorder="1" applyAlignment="1">
      <alignment horizontal="center" vertical="center"/>
    </xf>
    <xf numFmtId="168" fontId="0" fillId="8" borderId="8" xfId="3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7" fontId="0" fillId="8" borderId="3" xfId="3" applyNumberFormat="1" applyFont="1" applyFill="1" applyBorder="1" applyAlignment="1">
      <alignment horizontal="center" vertical="center"/>
    </xf>
    <xf numFmtId="168" fontId="0" fillId="8" borderId="3" xfId="3" applyNumberFormat="1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167" fontId="0" fillId="13" borderId="8" xfId="0" applyNumberFormat="1" applyFill="1" applyBorder="1" applyAlignment="1">
      <alignment horizontal="center" vertical="center"/>
    </xf>
    <xf numFmtId="168" fontId="0" fillId="13" borderId="8" xfId="3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167" fontId="0" fillId="13" borderId="3" xfId="0" applyNumberFormat="1" applyFill="1" applyBorder="1" applyAlignment="1">
      <alignment horizontal="center" vertical="center"/>
    </xf>
    <xf numFmtId="168" fontId="0" fillId="13" borderId="3" xfId="3" applyNumberFormat="1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167" fontId="0" fillId="17" borderId="0" xfId="0" applyNumberFormat="1" applyFill="1" applyBorder="1" applyAlignment="1">
      <alignment horizontal="center" vertical="center"/>
    </xf>
    <xf numFmtId="168" fontId="0" fillId="17" borderId="0" xfId="3" applyNumberFormat="1" applyFont="1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67" fontId="0" fillId="16" borderId="3" xfId="0" applyNumberFormat="1" applyFill="1" applyBorder="1" applyAlignment="1">
      <alignment horizontal="center" vertical="center"/>
    </xf>
    <xf numFmtId="168" fontId="0" fillId="16" borderId="3" xfId="3" applyNumberFormat="1" applyFon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167" fontId="0" fillId="15" borderId="0" xfId="0" applyNumberFormat="1" applyFill="1" applyBorder="1" applyAlignment="1">
      <alignment horizontal="center" vertical="center"/>
    </xf>
    <xf numFmtId="168" fontId="0" fillId="15" borderId="0" xfId="3" applyNumberFormat="1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167" fontId="0" fillId="16" borderId="8" xfId="0" applyNumberFormat="1" applyFill="1" applyBorder="1" applyAlignment="1">
      <alignment horizontal="center" vertical="center"/>
    </xf>
    <xf numFmtId="168" fontId="0" fillId="16" borderId="8" xfId="3" applyNumberFormat="1" applyFon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167" fontId="0" fillId="14" borderId="8" xfId="3" applyNumberFormat="1" applyFont="1" applyFill="1" applyBorder="1" applyAlignment="1">
      <alignment horizontal="center" vertical="center"/>
    </xf>
    <xf numFmtId="168" fontId="0" fillId="14" borderId="8" xfId="3" applyNumberFormat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7" fontId="0" fillId="14" borderId="3" xfId="3" applyNumberFormat="1" applyFont="1" applyFill="1" applyBorder="1" applyAlignment="1">
      <alignment horizontal="center" vertical="center"/>
    </xf>
    <xf numFmtId="168" fontId="0" fillId="14" borderId="3" xfId="3" applyNumberFormat="1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7" fontId="0" fillId="10" borderId="0" xfId="3" applyNumberFormat="1" applyFont="1" applyFill="1" applyBorder="1" applyAlignment="1">
      <alignment horizontal="center" vertical="center"/>
    </xf>
    <xf numFmtId="168" fontId="0" fillId="10" borderId="0" xfId="3" applyNumberFormat="1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167" fontId="0" fillId="12" borderId="3" xfId="3" applyNumberFormat="1" applyFont="1" applyFill="1" applyBorder="1" applyAlignment="1">
      <alignment horizontal="center" vertical="center"/>
    </xf>
    <xf numFmtId="168" fontId="0" fillId="12" borderId="3" xfId="3" applyNumberFormat="1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167" fontId="0" fillId="11" borderId="0" xfId="0" applyNumberFormat="1" applyFill="1" applyBorder="1" applyAlignment="1">
      <alignment horizontal="center" vertical="center"/>
    </xf>
    <xf numFmtId="168" fontId="0" fillId="11" borderId="0" xfId="3" applyNumberFormat="1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167" fontId="0" fillId="12" borderId="8" xfId="3" applyNumberFormat="1" applyFont="1" applyFill="1" applyBorder="1" applyAlignment="1">
      <alignment horizontal="center" vertical="center"/>
    </xf>
    <xf numFmtId="168" fontId="0" fillId="12" borderId="8" xfId="3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4" fontId="4" fillId="6" borderId="0" xfId="3" applyFont="1" applyFill="1" applyAlignment="1">
      <alignment horizontal="center"/>
    </xf>
    <xf numFmtId="164" fontId="0" fillId="18" borderId="3" xfId="3" applyFont="1" applyFill="1" applyBorder="1" applyAlignment="1">
      <alignment horizontal="center"/>
    </xf>
    <xf numFmtId="164" fontId="0" fillId="18" borderId="0" xfId="3" applyFont="1" applyFill="1" applyBorder="1" applyAlignment="1">
      <alignment horizontal="center"/>
    </xf>
    <xf numFmtId="164" fontId="0" fillId="18" borderId="8" xfId="3" applyFont="1" applyFill="1" applyBorder="1" applyAlignment="1">
      <alignment horizontal="center"/>
    </xf>
    <xf numFmtId="164" fontId="0" fillId="7" borderId="0" xfId="3" applyFont="1" applyFill="1" applyAlignment="1">
      <alignment horizontal="center"/>
    </xf>
    <xf numFmtId="164" fontId="0" fillId="4" borderId="3" xfId="3" applyFont="1" applyFill="1" applyBorder="1" applyAlignment="1">
      <alignment horizontal="center"/>
    </xf>
    <xf numFmtId="164" fontId="0" fillId="5" borderId="0" xfId="3" applyFont="1" applyFill="1" applyBorder="1" applyAlignment="1">
      <alignment horizontal="center"/>
    </xf>
    <xf numFmtId="164" fontId="0" fillId="4" borderId="8" xfId="3" applyFont="1" applyFill="1" applyBorder="1" applyAlignment="1">
      <alignment horizontal="center"/>
    </xf>
    <xf numFmtId="164" fontId="0" fillId="5" borderId="0" xfId="3" applyFont="1" applyFill="1" applyAlignment="1">
      <alignment horizontal="center"/>
    </xf>
    <xf numFmtId="164" fontId="0" fillId="7" borderId="0" xfId="3" applyFont="1" applyFill="1" applyBorder="1" applyAlignment="1">
      <alignment horizontal="center"/>
    </xf>
    <xf numFmtId="164" fontId="0" fillId="9" borderId="0" xfId="3" applyFont="1" applyFill="1" applyBorder="1" applyAlignment="1">
      <alignment horizontal="center"/>
    </xf>
    <xf numFmtId="164" fontId="0" fillId="8" borderId="8" xfId="3" applyFont="1" applyFill="1" applyBorder="1" applyAlignment="1">
      <alignment horizontal="center"/>
    </xf>
    <xf numFmtId="164" fontId="0" fillId="8" borderId="3" xfId="3" applyFont="1" applyFill="1" applyBorder="1" applyAlignment="1">
      <alignment horizontal="center"/>
    </xf>
    <xf numFmtId="164" fontId="0" fillId="13" borderId="8" xfId="3" applyFont="1" applyFill="1" applyBorder="1" applyAlignment="1">
      <alignment horizontal="center"/>
    </xf>
    <xf numFmtId="164" fontId="0" fillId="13" borderId="3" xfId="3" applyFont="1" applyFill="1" applyBorder="1" applyAlignment="1">
      <alignment horizontal="center"/>
    </xf>
    <xf numFmtId="164" fontId="0" fillId="17" borderId="0" xfId="3" applyFont="1" applyFill="1" applyBorder="1" applyAlignment="1">
      <alignment horizontal="center"/>
    </xf>
    <xf numFmtId="164" fontId="0" fillId="16" borderId="3" xfId="3" applyFont="1" applyFill="1" applyBorder="1" applyAlignment="1">
      <alignment horizontal="center"/>
    </xf>
    <xf numFmtId="164" fontId="0" fillId="15" borderId="0" xfId="3" applyFont="1" applyFill="1" applyBorder="1" applyAlignment="1">
      <alignment horizontal="center"/>
    </xf>
    <xf numFmtId="164" fontId="0" fillId="16" borderId="8" xfId="3" applyFont="1" applyFill="1" applyBorder="1" applyAlignment="1">
      <alignment horizontal="center"/>
    </xf>
    <xf numFmtId="164" fontId="0" fillId="14" borderId="8" xfId="3" applyFont="1" applyFill="1" applyBorder="1" applyAlignment="1">
      <alignment horizontal="center"/>
    </xf>
    <xf numFmtId="164" fontId="0" fillId="10" borderId="0" xfId="3" applyFont="1" applyFill="1" applyAlignment="1">
      <alignment horizontal="center"/>
    </xf>
    <xf numFmtId="164" fontId="0" fillId="14" borderId="3" xfId="3" applyFont="1" applyFill="1" applyBorder="1" applyAlignment="1">
      <alignment horizontal="center"/>
    </xf>
    <xf numFmtId="164" fontId="0" fillId="10" borderId="0" xfId="3" applyFont="1" applyFill="1" applyBorder="1" applyAlignment="1">
      <alignment horizontal="center"/>
    </xf>
    <xf numFmtId="164" fontId="0" fillId="12" borderId="3" xfId="3" applyFont="1" applyFill="1" applyBorder="1" applyAlignment="1">
      <alignment horizontal="center"/>
    </xf>
    <xf numFmtId="164" fontId="0" fillId="11" borderId="0" xfId="3" applyFont="1" applyFill="1" applyBorder="1" applyAlignment="1">
      <alignment horizontal="center"/>
    </xf>
    <xf numFmtId="164" fontId="0" fillId="12" borderId="8" xfId="3" applyFont="1" applyFill="1" applyBorder="1" applyAlignment="1">
      <alignment horizontal="center"/>
    </xf>
    <xf numFmtId="164" fontId="0" fillId="11" borderId="0" xfId="3" applyFont="1" applyFill="1" applyAlignment="1">
      <alignment horizontal="center"/>
    </xf>
    <xf numFmtId="164" fontId="0" fillId="0" borderId="0" xfId="3" applyFont="1" applyAlignment="1">
      <alignment horizontal="center"/>
    </xf>
    <xf numFmtId="0" fontId="0" fillId="5" borderId="0" xfId="0" applyFill="1" applyAlignment="1">
      <alignment horizontal="left"/>
    </xf>
    <xf numFmtId="0" fontId="0" fillId="16" borderId="0" xfId="0" applyFill="1" applyBorder="1" applyAlignment="1">
      <alignment horizontal="center"/>
    </xf>
    <xf numFmtId="167" fontId="0" fillId="16" borderId="0" xfId="0" applyNumberFormat="1" applyFill="1" applyBorder="1" applyAlignment="1">
      <alignment horizontal="center" vertical="center"/>
    </xf>
    <xf numFmtId="168" fontId="0" fillId="16" borderId="0" xfId="3" applyNumberFormat="1" applyFont="1" applyFill="1" applyBorder="1" applyAlignment="1">
      <alignment horizontal="center"/>
    </xf>
    <xf numFmtId="164" fontId="0" fillId="16" borderId="0" xfId="3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167" fontId="0" fillId="8" borderId="8" xfId="0" applyNumberFormat="1" applyFill="1" applyBorder="1" applyAlignment="1">
      <alignment horizontal="center"/>
    </xf>
    <xf numFmtId="167" fontId="0" fillId="9" borderId="0" xfId="0" applyNumberFormat="1" applyFill="1" applyBorder="1" applyAlignment="1">
      <alignment horizontal="center"/>
    </xf>
    <xf numFmtId="167" fontId="0" fillId="8" borderId="3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8" xfId="3" applyNumberFormat="1" applyFont="1" applyBorder="1" applyAlignment="1">
      <alignment horizontal="center" vertical="center"/>
    </xf>
    <xf numFmtId="168" fontId="0" fillId="0" borderId="8" xfId="3" applyNumberFormat="1" applyFont="1" applyBorder="1" applyAlignment="1">
      <alignment horizontal="center"/>
    </xf>
    <xf numFmtId="164" fontId="0" fillId="0" borderId="8" xfId="3" applyFont="1" applyBorder="1" applyAlignment="1">
      <alignment horizontal="center"/>
    </xf>
    <xf numFmtId="169" fontId="0" fillId="4" borderId="3" xfId="3" applyNumberFormat="1" applyFont="1" applyFill="1" applyBorder="1" applyAlignment="1">
      <alignment horizontal="center"/>
    </xf>
    <xf numFmtId="169" fontId="0" fillId="5" borderId="0" xfId="3" applyNumberFormat="1" applyFont="1" applyFill="1" applyBorder="1" applyAlignment="1">
      <alignment horizontal="center"/>
    </xf>
    <xf numFmtId="169" fontId="0" fillId="4" borderId="8" xfId="3" applyNumberFormat="1" applyFont="1" applyFill="1" applyBorder="1" applyAlignment="1">
      <alignment horizontal="center"/>
    </xf>
    <xf numFmtId="169" fontId="0" fillId="7" borderId="0" xfId="3" applyNumberFormat="1" applyFont="1" applyFill="1" applyBorder="1" applyAlignment="1">
      <alignment horizontal="center"/>
    </xf>
    <xf numFmtId="2" fontId="0" fillId="18" borderId="3" xfId="3" applyNumberFormat="1" applyFont="1" applyFill="1" applyBorder="1" applyAlignment="1">
      <alignment horizontal="center" vertical="center"/>
    </xf>
    <xf numFmtId="2" fontId="0" fillId="18" borderId="0" xfId="3" applyNumberFormat="1" applyFont="1" applyFill="1" applyBorder="1" applyAlignment="1">
      <alignment horizontal="center" vertical="center"/>
    </xf>
    <xf numFmtId="2" fontId="0" fillId="18" borderId="8" xfId="3" applyNumberFormat="1" applyFont="1" applyFill="1" applyBorder="1" applyAlignment="1">
      <alignment horizontal="center" vertical="center"/>
    </xf>
    <xf numFmtId="2" fontId="0" fillId="7" borderId="0" xfId="3" applyNumberFormat="1" applyFont="1" applyFill="1" applyAlignment="1">
      <alignment horizontal="center" vertical="center"/>
    </xf>
    <xf numFmtId="2" fontId="0" fillId="4" borderId="3" xfId="3" applyNumberFormat="1" applyFont="1" applyFill="1" applyBorder="1" applyAlignment="1">
      <alignment horizontal="center" vertical="center"/>
    </xf>
    <xf numFmtId="2" fontId="0" fillId="5" borderId="0" xfId="3" applyNumberFormat="1" applyFont="1" applyFill="1" applyBorder="1" applyAlignment="1">
      <alignment horizontal="center" vertical="center"/>
    </xf>
    <xf numFmtId="2" fontId="0" fillId="4" borderId="8" xfId="3" applyNumberFormat="1" applyFont="1" applyFill="1" applyBorder="1" applyAlignment="1">
      <alignment horizontal="center" vertical="center"/>
    </xf>
    <xf numFmtId="2" fontId="0" fillId="5" borderId="0" xfId="3" applyNumberFormat="1" applyFont="1" applyFill="1" applyAlignment="1">
      <alignment horizontal="center" vertical="center"/>
    </xf>
    <xf numFmtId="2" fontId="0" fillId="4" borderId="3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8" borderId="3" xfId="3" applyNumberFormat="1" applyFont="1" applyFill="1" applyBorder="1" applyAlignment="1">
      <alignment horizontal="center" vertical="center"/>
    </xf>
    <xf numFmtId="2" fontId="0" fillId="9" borderId="0" xfId="3" applyNumberFormat="1" applyFont="1" applyFill="1" applyBorder="1" applyAlignment="1">
      <alignment horizontal="center" vertical="center"/>
    </xf>
    <xf numFmtId="2" fontId="0" fillId="8" borderId="8" xfId="3" applyNumberFormat="1" applyFont="1" applyFill="1" applyBorder="1" applyAlignment="1">
      <alignment horizontal="center" vertical="center"/>
    </xf>
    <xf numFmtId="2" fontId="0" fillId="13" borderId="3" xfId="0" applyNumberFormat="1" applyFill="1" applyBorder="1" applyAlignment="1">
      <alignment horizontal="center" vertical="center"/>
    </xf>
    <xf numFmtId="2" fontId="0" fillId="17" borderId="0" xfId="0" applyNumberFormat="1" applyFill="1" applyBorder="1" applyAlignment="1">
      <alignment horizontal="center" vertical="center"/>
    </xf>
    <xf numFmtId="2" fontId="0" fillId="13" borderId="8" xfId="0" applyNumberFormat="1" applyFill="1" applyBorder="1" applyAlignment="1">
      <alignment horizontal="center" vertical="center"/>
    </xf>
    <xf numFmtId="2" fontId="0" fillId="16" borderId="0" xfId="0" applyNumberFormat="1" applyFill="1" applyBorder="1" applyAlignment="1">
      <alignment horizontal="center" vertical="center"/>
    </xf>
    <xf numFmtId="2" fontId="0" fillId="15" borderId="0" xfId="0" applyNumberFormat="1" applyFill="1" applyBorder="1" applyAlignment="1">
      <alignment horizontal="center" vertical="center"/>
    </xf>
    <xf numFmtId="2" fontId="0" fillId="16" borderId="8" xfId="0" applyNumberFormat="1" applyFill="1" applyBorder="1" applyAlignment="1">
      <alignment horizontal="center" vertical="center"/>
    </xf>
    <xf numFmtId="2" fontId="0" fillId="16" borderId="3" xfId="0" applyNumberFormat="1" applyFill="1" applyBorder="1" applyAlignment="1">
      <alignment horizontal="center" vertical="center"/>
    </xf>
    <xf numFmtId="2" fontId="0" fillId="7" borderId="0" xfId="3" applyNumberFormat="1" applyFont="1" applyFill="1" applyBorder="1" applyAlignment="1">
      <alignment horizontal="center" vertical="center"/>
    </xf>
    <xf numFmtId="2" fontId="0" fillId="14" borderId="8" xfId="3" applyNumberFormat="1" applyFont="1" applyFill="1" applyBorder="1" applyAlignment="1">
      <alignment horizontal="center" vertical="center"/>
    </xf>
    <xf numFmtId="2" fontId="0" fillId="10" borderId="0" xfId="3" applyNumberFormat="1" applyFont="1" applyFill="1" applyAlignment="1">
      <alignment horizontal="center" vertical="center"/>
    </xf>
    <xf numFmtId="2" fontId="0" fillId="14" borderId="3" xfId="3" applyNumberFormat="1" applyFont="1" applyFill="1" applyBorder="1" applyAlignment="1">
      <alignment horizontal="center" vertical="center"/>
    </xf>
    <xf numFmtId="2" fontId="0" fillId="10" borderId="0" xfId="3" applyNumberFormat="1" applyFont="1" applyFill="1" applyBorder="1" applyAlignment="1">
      <alignment horizontal="center" vertical="center"/>
    </xf>
    <xf numFmtId="2" fontId="0" fillId="12" borderId="3" xfId="3" applyNumberFormat="1" applyFont="1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2" fontId="0" fillId="12" borderId="8" xfId="3" applyNumberFormat="1" applyFont="1" applyFill="1" applyBorder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2" fontId="0" fillId="0" borderId="8" xfId="3" applyNumberFormat="1" applyFont="1" applyBorder="1" applyAlignment="1">
      <alignment horizontal="center" vertical="center"/>
    </xf>
    <xf numFmtId="2" fontId="0" fillId="0" borderId="0" xfId="3" applyNumberFormat="1" applyFont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2" fontId="0" fillId="18" borderId="11" xfId="3" applyNumberFormat="1" applyFont="1" applyFill="1" applyBorder="1" applyAlignment="1">
      <alignment horizontal="center" vertical="center"/>
    </xf>
    <xf numFmtId="2" fontId="0" fillId="18" borderId="10" xfId="3" applyNumberFormat="1" applyFont="1" applyFill="1" applyBorder="1" applyAlignment="1">
      <alignment horizontal="center" vertical="center"/>
    </xf>
    <xf numFmtId="2" fontId="0" fillId="18" borderId="12" xfId="3" applyNumberFormat="1" applyFont="1" applyFill="1" applyBorder="1" applyAlignment="1">
      <alignment horizontal="center" vertical="center"/>
    </xf>
    <xf numFmtId="2" fontId="0" fillId="7" borderId="10" xfId="3" applyNumberFormat="1" applyFont="1" applyFill="1" applyBorder="1" applyAlignment="1">
      <alignment horizontal="center" vertical="center"/>
    </xf>
    <xf numFmtId="2" fontId="0" fillId="4" borderId="11" xfId="3" applyNumberFormat="1" applyFont="1" applyFill="1" applyBorder="1" applyAlignment="1">
      <alignment horizontal="center" vertical="center"/>
    </xf>
    <xf numFmtId="2" fontId="0" fillId="5" borderId="10" xfId="3" applyNumberFormat="1" applyFont="1" applyFill="1" applyBorder="1" applyAlignment="1">
      <alignment horizontal="center" vertical="center"/>
    </xf>
    <xf numFmtId="2" fontId="0" fillId="4" borderId="12" xfId="3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2" fontId="0" fillId="8" borderId="11" xfId="0" applyNumberFormat="1" applyFill="1" applyBorder="1" applyAlignment="1">
      <alignment horizontal="center"/>
    </xf>
    <xf numFmtId="2" fontId="0" fillId="8" borderId="11" xfId="3" applyNumberFormat="1" applyFont="1" applyFill="1" applyBorder="1" applyAlignment="1">
      <alignment horizontal="center" vertical="center"/>
    </xf>
    <xf numFmtId="2" fontId="0" fillId="9" borderId="10" xfId="3" applyNumberFormat="1" applyFont="1" applyFill="1" applyBorder="1" applyAlignment="1">
      <alignment horizontal="center" vertical="center"/>
    </xf>
    <xf numFmtId="2" fontId="0" fillId="8" borderId="12" xfId="3" applyNumberFormat="1" applyFont="1" applyFill="1" applyBorder="1" applyAlignment="1">
      <alignment horizontal="center" vertical="center"/>
    </xf>
    <xf numFmtId="2" fontId="0" fillId="13" borderId="11" xfId="0" applyNumberFormat="1" applyFill="1" applyBorder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2" fontId="0" fillId="13" borderId="12" xfId="0" applyNumberFormat="1" applyFill="1" applyBorder="1" applyAlignment="1">
      <alignment horizontal="center" vertical="center"/>
    </xf>
    <xf numFmtId="2" fontId="0" fillId="16" borderId="10" xfId="0" applyNumberFormat="1" applyFill="1" applyBorder="1" applyAlignment="1">
      <alignment horizontal="center" vertical="center"/>
    </xf>
    <xf numFmtId="2" fontId="0" fillId="15" borderId="10" xfId="0" applyNumberFormat="1" applyFill="1" applyBorder="1" applyAlignment="1">
      <alignment horizontal="center" vertical="center"/>
    </xf>
    <xf numFmtId="2" fontId="0" fillId="16" borderId="12" xfId="0" applyNumberFormat="1" applyFill="1" applyBorder="1" applyAlignment="1">
      <alignment horizontal="center" vertical="center"/>
    </xf>
    <xf numFmtId="2" fontId="0" fillId="16" borderId="11" xfId="0" applyNumberFormat="1" applyFill="1" applyBorder="1" applyAlignment="1">
      <alignment horizontal="center" vertical="center"/>
    </xf>
    <xf numFmtId="2" fontId="0" fillId="14" borderId="12" xfId="3" applyNumberFormat="1" applyFont="1" applyFill="1" applyBorder="1" applyAlignment="1">
      <alignment horizontal="center" vertical="center"/>
    </xf>
    <xf numFmtId="2" fontId="0" fillId="10" borderId="10" xfId="3" applyNumberFormat="1" applyFont="1" applyFill="1" applyBorder="1" applyAlignment="1">
      <alignment horizontal="center" vertical="center"/>
    </xf>
    <xf numFmtId="2" fontId="0" fillId="14" borderId="11" xfId="3" applyNumberFormat="1" applyFont="1" applyFill="1" applyBorder="1" applyAlignment="1">
      <alignment horizontal="center" vertical="center"/>
    </xf>
    <xf numFmtId="2" fontId="0" fillId="12" borderId="11" xfId="3" applyNumberFormat="1" applyFont="1" applyFill="1" applyBorder="1" applyAlignment="1">
      <alignment horizontal="center" vertical="center"/>
    </xf>
    <xf numFmtId="2" fontId="0" fillId="11" borderId="10" xfId="0" applyNumberFormat="1" applyFill="1" applyBorder="1" applyAlignment="1">
      <alignment horizontal="center" vertical="center"/>
    </xf>
    <xf numFmtId="2" fontId="0" fillId="12" borderId="12" xfId="3" applyNumberFormat="1" applyFont="1" applyFill="1" applyBorder="1" applyAlignment="1">
      <alignment horizontal="center" vertical="center"/>
    </xf>
    <xf numFmtId="2" fontId="0" fillId="0" borderId="12" xfId="3" applyNumberFormat="1" applyFont="1" applyBorder="1" applyAlignment="1">
      <alignment horizontal="center" vertical="center"/>
    </xf>
    <xf numFmtId="2" fontId="0" fillId="0" borderId="10" xfId="3" applyNumberFormat="1" applyFont="1" applyBorder="1" applyAlignment="1">
      <alignment horizontal="center" vertical="center"/>
    </xf>
    <xf numFmtId="167" fontId="0" fillId="0" borderId="10" xfId="3" applyNumberFormat="1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/>
    </xf>
    <xf numFmtId="2" fontId="0" fillId="18" borderId="14" xfId="3" applyNumberFormat="1" applyFont="1" applyFill="1" applyBorder="1" applyAlignment="1">
      <alignment horizontal="center" vertical="center"/>
    </xf>
    <xf numFmtId="2" fontId="0" fillId="18" borderId="13" xfId="3" applyNumberFormat="1" applyFont="1" applyFill="1" applyBorder="1" applyAlignment="1">
      <alignment horizontal="center" vertical="center"/>
    </xf>
    <xf numFmtId="2" fontId="0" fillId="18" borderId="15" xfId="3" applyNumberFormat="1" applyFont="1" applyFill="1" applyBorder="1" applyAlignment="1">
      <alignment horizontal="center" vertical="center"/>
    </xf>
    <xf numFmtId="2" fontId="0" fillId="7" borderId="13" xfId="3" applyNumberFormat="1" applyFont="1" applyFill="1" applyBorder="1" applyAlignment="1">
      <alignment horizontal="center" vertical="center"/>
    </xf>
    <xf numFmtId="2" fontId="0" fillId="4" borderId="14" xfId="3" applyNumberFormat="1" applyFont="1" applyFill="1" applyBorder="1" applyAlignment="1">
      <alignment horizontal="center" vertical="center"/>
    </xf>
    <xf numFmtId="2" fontId="0" fillId="5" borderId="13" xfId="3" applyNumberFormat="1" applyFont="1" applyFill="1" applyBorder="1" applyAlignment="1">
      <alignment horizontal="center" vertical="center"/>
    </xf>
    <xf numFmtId="2" fontId="0" fillId="4" borderId="15" xfId="3" applyNumberFormat="1" applyFon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2" fontId="0" fillId="9" borderId="13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8" borderId="14" xfId="3" applyNumberFormat="1" applyFont="1" applyFill="1" applyBorder="1" applyAlignment="1">
      <alignment horizontal="center" vertical="center"/>
    </xf>
    <xf numFmtId="2" fontId="0" fillId="9" borderId="13" xfId="3" applyNumberFormat="1" applyFont="1" applyFill="1" applyBorder="1" applyAlignment="1">
      <alignment horizontal="center" vertical="center"/>
    </xf>
    <xf numFmtId="2" fontId="0" fillId="8" borderId="15" xfId="3" applyNumberFormat="1" applyFont="1" applyFill="1" applyBorder="1" applyAlignment="1">
      <alignment horizontal="center" vertical="center"/>
    </xf>
    <xf numFmtId="2" fontId="0" fillId="13" borderId="14" xfId="0" applyNumberFormat="1" applyFill="1" applyBorder="1" applyAlignment="1">
      <alignment horizontal="center" vertical="center"/>
    </xf>
    <xf numFmtId="2" fontId="0" fillId="17" borderId="13" xfId="0" applyNumberFormat="1" applyFill="1" applyBorder="1" applyAlignment="1">
      <alignment horizontal="center" vertical="center"/>
    </xf>
    <xf numFmtId="2" fontId="0" fillId="13" borderId="15" xfId="0" applyNumberFormat="1" applyFill="1" applyBorder="1" applyAlignment="1">
      <alignment horizontal="center" vertical="center"/>
    </xf>
    <xf numFmtId="2" fontId="0" fillId="16" borderId="13" xfId="0" applyNumberFormat="1" applyFill="1" applyBorder="1" applyAlignment="1">
      <alignment horizontal="center" vertical="center"/>
    </xf>
    <xf numFmtId="2" fontId="0" fillId="15" borderId="13" xfId="0" applyNumberFormat="1" applyFill="1" applyBorder="1" applyAlignment="1">
      <alignment horizontal="center" vertical="center"/>
    </xf>
    <xf numFmtId="2" fontId="0" fillId="16" borderId="15" xfId="0" applyNumberFormat="1" applyFill="1" applyBorder="1" applyAlignment="1">
      <alignment horizontal="center" vertical="center"/>
    </xf>
    <xf numFmtId="2" fontId="0" fillId="16" borderId="14" xfId="0" applyNumberFormat="1" applyFill="1" applyBorder="1" applyAlignment="1">
      <alignment horizontal="center" vertical="center"/>
    </xf>
    <xf numFmtId="2" fontId="0" fillId="14" borderId="15" xfId="3" applyNumberFormat="1" applyFont="1" applyFill="1" applyBorder="1" applyAlignment="1">
      <alignment horizontal="center" vertical="center"/>
    </xf>
    <xf numFmtId="2" fontId="0" fillId="10" borderId="13" xfId="3" applyNumberFormat="1" applyFont="1" applyFill="1" applyBorder="1" applyAlignment="1">
      <alignment horizontal="center" vertical="center"/>
    </xf>
    <xf numFmtId="2" fontId="0" fillId="14" borderId="14" xfId="3" applyNumberFormat="1" applyFont="1" applyFill="1" applyBorder="1" applyAlignment="1">
      <alignment horizontal="center" vertical="center"/>
    </xf>
    <xf numFmtId="2" fontId="0" fillId="12" borderId="14" xfId="3" applyNumberFormat="1" applyFont="1" applyFill="1" applyBorder="1" applyAlignment="1">
      <alignment horizontal="center" vertical="center"/>
    </xf>
    <xf numFmtId="2" fontId="0" fillId="11" borderId="13" xfId="0" applyNumberFormat="1" applyFill="1" applyBorder="1" applyAlignment="1">
      <alignment horizontal="center" vertical="center"/>
    </xf>
    <xf numFmtId="2" fontId="0" fillId="12" borderId="15" xfId="3" applyNumberFormat="1" applyFont="1" applyFill="1" applyBorder="1" applyAlignment="1">
      <alignment horizontal="center" vertical="center"/>
    </xf>
    <xf numFmtId="2" fontId="0" fillId="0" borderId="15" xfId="3" applyNumberFormat="1" applyFont="1" applyBorder="1" applyAlignment="1">
      <alignment horizontal="center" vertical="center"/>
    </xf>
    <xf numFmtId="2" fontId="0" fillId="0" borderId="13" xfId="3" applyNumberFormat="1" applyFont="1" applyBorder="1" applyAlignment="1">
      <alignment horizontal="center" vertical="center"/>
    </xf>
    <xf numFmtId="167" fontId="0" fillId="0" borderId="13" xfId="3" applyNumberFormat="1" applyFont="1" applyBorder="1" applyAlignment="1">
      <alignment horizontal="center" vertical="center"/>
    </xf>
    <xf numFmtId="167" fontId="0" fillId="7" borderId="13" xfId="3" applyNumberFormat="1" applyFont="1" applyFill="1" applyBorder="1" applyAlignment="1">
      <alignment horizontal="center" vertical="center"/>
    </xf>
    <xf numFmtId="167" fontId="0" fillId="8" borderId="15" xfId="0" applyNumberFormat="1" applyFill="1" applyBorder="1" applyAlignment="1">
      <alignment horizontal="center"/>
    </xf>
    <xf numFmtId="167" fontId="0" fillId="9" borderId="13" xfId="0" applyNumberFormat="1" applyFill="1" applyBorder="1" applyAlignment="1">
      <alignment horizontal="center"/>
    </xf>
    <xf numFmtId="167" fontId="0" fillId="8" borderId="14" xfId="0" applyNumberFormat="1" applyFill="1" applyBorder="1" applyAlignment="1">
      <alignment horizontal="center"/>
    </xf>
    <xf numFmtId="167" fontId="0" fillId="8" borderId="14" xfId="3" applyNumberFormat="1" applyFont="1" applyFill="1" applyBorder="1" applyAlignment="1">
      <alignment horizontal="center" vertical="center"/>
    </xf>
    <xf numFmtId="167" fontId="0" fillId="9" borderId="13" xfId="3" applyNumberFormat="1" applyFont="1" applyFill="1" applyBorder="1" applyAlignment="1">
      <alignment horizontal="center" vertical="center"/>
    </xf>
    <xf numFmtId="167" fontId="0" fillId="8" borderId="15" xfId="3" applyNumberFormat="1" applyFont="1" applyFill="1" applyBorder="1" applyAlignment="1">
      <alignment horizontal="center" vertical="center"/>
    </xf>
    <xf numFmtId="167" fontId="0" fillId="13" borderId="14" xfId="0" applyNumberFormat="1" applyFill="1" applyBorder="1" applyAlignment="1">
      <alignment horizontal="center" vertical="center"/>
    </xf>
    <xf numFmtId="167" fontId="0" fillId="17" borderId="13" xfId="0" applyNumberFormat="1" applyFill="1" applyBorder="1" applyAlignment="1">
      <alignment horizontal="center" vertical="center"/>
    </xf>
    <xf numFmtId="167" fontId="0" fillId="13" borderId="15" xfId="0" applyNumberFormat="1" applyFill="1" applyBorder="1" applyAlignment="1">
      <alignment horizontal="center" vertical="center"/>
    </xf>
    <xf numFmtId="167" fontId="0" fillId="16" borderId="13" xfId="0" applyNumberFormat="1" applyFill="1" applyBorder="1" applyAlignment="1">
      <alignment horizontal="center" vertical="center"/>
    </xf>
    <xf numFmtId="167" fontId="0" fillId="15" borderId="13" xfId="0" applyNumberFormat="1" applyFill="1" applyBorder="1" applyAlignment="1">
      <alignment horizontal="center" vertical="center"/>
    </xf>
    <xf numFmtId="167" fontId="0" fillId="16" borderId="15" xfId="0" applyNumberFormat="1" applyFill="1" applyBorder="1" applyAlignment="1">
      <alignment horizontal="center" vertical="center"/>
    </xf>
    <xf numFmtId="167" fontId="0" fillId="16" borderId="14" xfId="0" applyNumberFormat="1" applyFill="1" applyBorder="1" applyAlignment="1">
      <alignment horizontal="center" vertical="center"/>
    </xf>
    <xf numFmtId="167" fontId="0" fillId="14" borderId="15" xfId="3" applyNumberFormat="1" applyFont="1" applyFill="1" applyBorder="1" applyAlignment="1">
      <alignment horizontal="center" vertical="center"/>
    </xf>
    <xf numFmtId="167" fontId="0" fillId="10" borderId="13" xfId="3" applyNumberFormat="1" applyFont="1" applyFill="1" applyBorder="1" applyAlignment="1">
      <alignment horizontal="center" vertical="center"/>
    </xf>
    <xf numFmtId="167" fontId="0" fillId="14" borderId="14" xfId="3" applyNumberFormat="1" applyFont="1" applyFill="1" applyBorder="1" applyAlignment="1">
      <alignment horizontal="center" vertical="center"/>
    </xf>
    <xf numFmtId="167" fontId="0" fillId="12" borderId="14" xfId="3" applyNumberFormat="1" applyFont="1" applyFill="1" applyBorder="1" applyAlignment="1">
      <alignment horizontal="center" vertical="center"/>
    </xf>
    <xf numFmtId="167" fontId="0" fillId="11" borderId="13" xfId="0" applyNumberFormat="1" applyFill="1" applyBorder="1" applyAlignment="1">
      <alignment horizontal="center" vertical="center"/>
    </xf>
    <xf numFmtId="167" fontId="0" fillId="12" borderId="15" xfId="3" applyNumberFormat="1" applyFont="1" applyFill="1" applyBorder="1" applyAlignment="1">
      <alignment horizontal="center" vertical="center"/>
    </xf>
    <xf numFmtId="167" fontId="0" fillId="0" borderId="15" xfId="3" applyNumberFormat="1" applyFont="1" applyBorder="1" applyAlignment="1">
      <alignment horizontal="center" vertical="center"/>
    </xf>
    <xf numFmtId="170" fontId="0" fillId="7" borderId="13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67" fontId="0" fillId="0" borderId="0" xfId="3" applyNumberFormat="1" applyFont="1" applyBorder="1" applyAlignment="1">
      <alignment horizontal="center" vertical="center"/>
    </xf>
    <xf numFmtId="170" fontId="0" fillId="18" borderId="3" xfId="3" applyNumberFormat="1" applyFont="1" applyFill="1" applyBorder="1" applyAlignment="1">
      <alignment horizontal="center" vertical="center"/>
    </xf>
    <xf numFmtId="170" fontId="0" fillId="18" borderId="14" xfId="3" applyNumberFormat="1" applyFont="1" applyFill="1" applyBorder="1" applyAlignment="1">
      <alignment horizontal="center" vertical="center"/>
    </xf>
    <xf numFmtId="170" fontId="0" fillId="18" borderId="0" xfId="3" applyNumberFormat="1" applyFont="1" applyFill="1" applyBorder="1" applyAlignment="1">
      <alignment horizontal="center" vertical="center"/>
    </xf>
    <xf numFmtId="170" fontId="0" fillId="18" borderId="13" xfId="3" applyNumberFormat="1" applyFont="1" applyFill="1" applyBorder="1" applyAlignment="1">
      <alignment horizontal="center" vertical="center"/>
    </xf>
    <xf numFmtId="170" fontId="0" fillId="18" borderId="8" xfId="3" applyNumberFormat="1" applyFont="1" applyFill="1" applyBorder="1" applyAlignment="1">
      <alignment horizontal="center" vertical="center"/>
    </xf>
    <xf numFmtId="170" fontId="0" fillId="18" borderId="15" xfId="3" applyNumberFormat="1" applyFont="1" applyFill="1" applyBorder="1" applyAlignment="1">
      <alignment horizontal="center" vertical="center"/>
    </xf>
    <xf numFmtId="170" fontId="0" fillId="7" borderId="0" xfId="3" applyNumberFormat="1" applyFont="1" applyFill="1" applyAlignment="1">
      <alignment horizontal="center" vertical="center"/>
    </xf>
    <xf numFmtId="170" fontId="0" fillId="7" borderId="13" xfId="3" applyNumberFormat="1" applyFont="1" applyFill="1" applyBorder="1" applyAlignment="1">
      <alignment horizontal="center" vertical="center"/>
    </xf>
    <xf numFmtId="170" fontId="0" fillId="4" borderId="3" xfId="3" applyNumberFormat="1" applyFont="1" applyFill="1" applyBorder="1" applyAlignment="1">
      <alignment horizontal="center" vertical="center"/>
    </xf>
    <xf numFmtId="170" fontId="0" fillId="4" borderId="14" xfId="3" applyNumberFormat="1" applyFont="1" applyFill="1" applyBorder="1" applyAlignment="1">
      <alignment horizontal="center" vertical="center"/>
    </xf>
    <xf numFmtId="170" fontId="0" fillId="5" borderId="0" xfId="3" applyNumberFormat="1" applyFont="1" applyFill="1" applyBorder="1" applyAlignment="1">
      <alignment horizontal="center" vertical="center"/>
    </xf>
    <xf numFmtId="170" fontId="0" fillId="5" borderId="13" xfId="3" applyNumberFormat="1" applyFont="1" applyFill="1" applyBorder="1" applyAlignment="1">
      <alignment horizontal="center" vertical="center"/>
    </xf>
    <xf numFmtId="170" fontId="0" fillId="4" borderId="8" xfId="3" applyNumberFormat="1" applyFont="1" applyFill="1" applyBorder="1" applyAlignment="1">
      <alignment horizontal="center" vertical="center"/>
    </xf>
    <xf numFmtId="170" fontId="0" fillId="4" borderId="15" xfId="3" applyNumberFormat="1" applyFont="1" applyFill="1" applyBorder="1" applyAlignment="1">
      <alignment horizontal="center" vertical="center"/>
    </xf>
    <xf numFmtId="170" fontId="0" fillId="5" borderId="0" xfId="3" applyNumberFormat="1" applyFont="1" applyFill="1" applyAlignment="1">
      <alignment horizontal="center" vertical="center"/>
    </xf>
    <xf numFmtId="170" fontId="0" fillId="4" borderId="3" xfId="0" applyNumberFormat="1" applyFill="1" applyBorder="1" applyAlignment="1">
      <alignment horizontal="center"/>
    </xf>
    <xf numFmtId="170" fontId="0" fillId="4" borderId="14" xfId="0" applyNumberFormat="1" applyFill="1" applyBorder="1" applyAlignment="1">
      <alignment horizontal="center"/>
    </xf>
    <xf numFmtId="170" fontId="0" fillId="7" borderId="0" xfId="0" applyNumberFormat="1" applyFill="1" applyBorder="1" applyAlignment="1">
      <alignment horizontal="center"/>
    </xf>
    <xf numFmtId="170" fontId="0" fillId="4" borderId="8" xfId="0" applyNumberFormat="1" applyFill="1" applyBorder="1" applyAlignment="1">
      <alignment horizontal="center"/>
    </xf>
    <xf numFmtId="170" fontId="0" fillId="4" borderId="15" xfId="0" applyNumberFormat="1" applyFill="1" applyBorder="1" applyAlignment="1">
      <alignment horizontal="center"/>
    </xf>
    <xf numFmtId="170" fontId="0" fillId="5" borderId="0" xfId="0" applyNumberFormat="1" applyFill="1" applyAlignment="1">
      <alignment horizontal="center"/>
    </xf>
    <xf numFmtId="170" fontId="0" fillId="5" borderId="13" xfId="0" applyNumberFormat="1" applyFill="1" applyBorder="1" applyAlignment="1">
      <alignment horizontal="center"/>
    </xf>
    <xf numFmtId="170" fontId="0" fillId="5" borderId="0" xfId="0" applyNumberFormat="1" applyFill="1" applyBorder="1" applyAlignment="1">
      <alignment horizontal="center"/>
    </xf>
    <xf numFmtId="170" fontId="0" fillId="18" borderId="11" xfId="3" applyNumberFormat="1" applyFont="1" applyFill="1" applyBorder="1" applyAlignment="1">
      <alignment horizontal="center" vertical="center"/>
    </xf>
    <xf numFmtId="170" fontId="0" fillId="18" borderId="10" xfId="3" applyNumberFormat="1" applyFont="1" applyFill="1" applyBorder="1" applyAlignment="1">
      <alignment horizontal="center" vertical="center"/>
    </xf>
    <xf numFmtId="170" fontId="0" fillId="18" borderId="12" xfId="3" applyNumberFormat="1" applyFont="1" applyFill="1" applyBorder="1" applyAlignment="1">
      <alignment horizontal="center" vertical="center"/>
    </xf>
    <xf numFmtId="170" fontId="0" fillId="7" borderId="10" xfId="3" applyNumberFormat="1" applyFont="1" applyFill="1" applyBorder="1" applyAlignment="1">
      <alignment horizontal="center" vertical="center"/>
    </xf>
    <xf numFmtId="170" fontId="0" fillId="4" borderId="11" xfId="3" applyNumberFormat="1" applyFont="1" applyFill="1" applyBorder="1" applyAlignment="1">
      <alignment horizontal="center" vertical="center"/>
    </xf>
    <xf numFmtId="170" fontId="0" fillId="5" borderId="10" xfId="3" applyNumberFormat="1" applyFont="1" applyFill="1" applyBorder="1" applyAlignment="1">
      <alignment horizontal="center" vertical="center"/>
    </xf>
    <xf numFmtId="170" fontId="0" fillId="4" borderId="12" xfId="3" applyNumberFormat="1" applyFont="1" applyFill="1" applyBorder="1" applyAlignment="1">
      <alignment horizontal="center" vertical="center"/>
    </xf>
    <xf numFmtId="170" fontId="0" fillId="4" borderId="11" xfId="0" applyNumberFormat="1" applyFill="1" applyBorder="1" applyAlignment="1">
      <alignment horizontal="center"/>
    </xf>
    <xf numFmtId="170" fontId="0" fillId="7" borderId="1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0" fontId="0" fillId="5" borderId="10" xfId="0" applyNumberFormat="1" applyFill="1" applyBorder="1" applyAlignment="1">
      <alignment horizontal="center"/>
    </xf>
    <xf numFmtId="167" fontId="0" fillId="8" borderId="12" xfId="0" applyNumberFormat="1" applyFill="1" applyBorder="1" applyAlignment="1">
      <alignment horizontal="center"/>
    </xf>
    <xf numFmtId="167" fontId="0" fillId="9" borderId="10" xfId="0" applyNumberFormat="1" applyFill="1" applyBorder="1" applyAlignment="1">
      <alignment horizontal="center"/>
    </xf>
    <xf numFmtId="167" fontId="0" fillId="8" borderId="11" xfId="0" applyNumberFormat="1" applyFill="1" applyBorder="1" applyAlignment="1">
      <alignment horizontal="center"/>
    </xf>
    <xf numFmtId="167" fontId="0" fillId="8" borderId="11" xfId="3" applyNumberFormat="1" applyFont="1" applyFill="1" applyBorder="1" applyAlignment="1">
      <alignment horizontal="center" vertical="center"/>
    </xf>
    <xf numFmtId="167" fontId="0" fillId="9" borderId="10" xfId="3" applyNumberFormat="1" applyFont="1" applyFill="1" applyBorder="1" applyAlignment="1">
      <alignment horizontal="center" vertical="center"/>
    </xf>
    <xf numFmtId="167" fontId="0" fillId="8" borderId="12" xfId="3" applyNumberFormat="1" applyFont="1" applyFill="1" applyBorder="1" applyAlignment="1">
      <alignment horizontal="center" vertical="center"/>
    </xf>
    <xf numFmtId="167" fontId="0" fillId="13" borderId="11" xfId="0" applyNumberFormat="1" applyFill="1" applyBorder="1" applyAlignment="1">
      <alignment horizontal="center" vertical="center"/>
    </xf>
    <xf numFmtId="167" fontId="0" fillId="17" borderId="10" xfId="0" applyNumberFormat="1" applyFill="1" applyBorder="1" applyAlignment="1">
      <alignment horizontal="center" vertical="center"/>
    </xf>
    <xf numFmtId="167" fontId="0" fillId="13" borderId="12" xfId="0" applyNumberFormat="1" applyFill="1" applyBorder="1" applyAlignment="1">
      <alignment horizontal="center" vertical="center"/>
    </xf>
    <xf numFmtId="167" fontId="0" fillId="16" borderId="10" xfId="0" applyNumberFormat="1" applyFill="1" applyBorder="1" applyAlignment="1">
      <alignment horizontal="center" vertical="center"/>
    </xf>
    <xf numFmtId="167" fontId="0" fillId="15" borderId="10" xfId="0" applyNumberFormat="1" applyFill="1" applyBorder="1" applyAlignment="1">
      <alignment horizontal="center" vertical="center"/>
    </xf>
    <xf numFmtId="167" fontId="0" fillId="16" borderId="12" xfId="0" applyNumberForma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center" vertical="center"/>
    </xf>
    <xf numFmtId="167" fontId="0" fillId="7" borderId="10" xfId="3" applyNumberFormat="1" applyFont="1" applyFill="1" applyBorder="1" applyAlignment="1">
      <alignment horizontal="center" vertical="center"/>
    </xf>
    <xf numFmtId="167" fontId="0" fillId="14" borderId="12" xfId="3" applyNumberFormat="1" applyFont="1" applyFill="1" applyBorder="1" applyAlignment="1">
      <alignment horizontal="center" vertical="center"/>
    </xf>
    <xf numFmtId="167" fontId="0" fillId="10" borderId="10" xfId="3" applyNumberFormat="1" applyFont="1" applyFill="1" applyBorder="1" applyAlignment="1">
      <alignment horizontal="center" vertical="center"/>
    </xf>
    <xf numFmtId="167" fontId="0" fillId="14" borderId="11" xfId="3" applyNumberFormat="1" applyFont="1" applyFill="1" applyBorder="1" applyAlignment="1">
      <alignment horizontal="center" vertical="center"/>
    </xf>
    <xf numFmtId="167" fontId="0" fillId="12" borderId="11" xfId="3" applyNumberFormat="1" applyFont="1" applyFill="1" applyBorder="1" applyAlignment="1">
      <alignment horizontal="center" vertical="center"/>
    </xf>
    <xf numFmtId="167" fontId="0" fillId="11" borderId="10" xfId="0" applyNumberFormat="1" applyFill="1" applyBorder="1" applyAlignment="1">
      <alignment horizontal="center" vertical="center"/>
    </xf>
    <xf numFmtId="167" fontId="0" fillId="12" borderId="12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168" fontId="0" fillId="0" borderId="0" xfId="0" applyNumberFormat="1"/>
    <xf numFmtId="165" fontId="0" fillId="18" borderId="3" xfId="3" applyNumberFormat="1" applyFont="1" applyFill="1" applyBorder="1" applyAlignment="1">
      <alignment horizontal="center" vertical="center"/>
    </xf>
    <xf numFmtId="165" fontId="0" fillId="18" borderId="0" xfId="3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7" fontId="0" fillId="4" borderId="0" xfId="3" applyNumberFormat="1" applyFont="1" applyFill="1" applyBorder="1" applyAlignment="1">
      <alignment horizontal="center" vertical="center"/>
    </xf>
    <xf numFmtId="2" fontId="0" fillId="4" borderId="0" xfId="3" applyNumberFormat="1" applyFont="1" applyFill="1" applyBorder="1" applyAlignment="1">
      <alignment horizontal="center" vertical="center"/>
    </xf>
    <xf numFmtId="170" fontId="0" fillId="4" borderId="0" xfId="3" applyNumberFormat="1" applyFont="1" applyFill="1" applyBorder="1" applyAlignment="1">
      <alignment horizontal="center" vertical="center"/>
    </xf>
    <xf numFmtId="2" fontId="0" fillId="4" borderId="10" xfId="3" applyNumberFormat="1" applyFont="1" applyFill="1" applyBorder="1" applyAlignment="1">
      <alignment horizontal="center" vertical="center"/>
    </xf>
    <xf numFmtId="170" fontId="0" fillId="4" borderId="10" xfId="3" applyNumberFormat="1" applyFont="1" applyFill="1" applyBorder="1" applyAlignment="1">
      <alignment horizontal="center" vertical="center"/>
    </xf>
    <xf numFmtId="168" fontId="0" fillId="4" borderId="10" xfId="3" applyNumberFormat="1" applyFont="1" applyFill="1" applyBorder="1" applyAlignment="1">
      <alignment horizontal="center"/>
    </xf>
    <xf numFmtId="164" fontId="0" fillId="4" borderId="0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9" fontId="0" fillId="18" borderId="3" xfId="3" applyNumberFormat="1" applyFont="1" applyFill="1" applyBorder="1" applyAlignment="1">
      <alignment horizontal="center"/>
    </xf>
    <xf numFmtId="169" fontId="0" fillId="18" borderId="0" xfId="3" applyNumberFormat="1" applyFont="1" applyFill="1" applyBorder="1" applyAlignment="1">
      <alignment horizontal="center"/>
    </xf>
    <xf numFmtId="169" fontId="0" fillId="18" borderId="8" xfId="3" applyNumberFormat="1" applyFon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0" fillId="7" borderId="5" xfId="3" applyFont="1" applyFill="1" applyBorder="1" applyAlignment="1">
      <alignment horizontal="center"/>
    </xf>
    <xf numFmtId="169" fontId="0" fillId="4" borderId="2" xfId="3" applyNumberFormat="1" applyFont="1" applyFill="1" applyBorder="1" applyAlignment="1">
      <alignment horizontal="center"/>
    </xf>
    <xf numFmtId="169" fontId="0" fillId="4" borderId="4" xfId="3" applyNumberFormat="1" applyFont="1" applyFill="1" applyBorder="1" applyAlignment="1">
      <alignment horizontal="center"/>
    </xf>
    <xf numFmtId="169" fontId="0" fillId="5" borderId="5" xfId="3" applyNumberFormat="1" applyFont="1" applyFill="1" applyBorder="1" applyAlignment="1">
      <alignment horizontal="center"/>
    </xf>
    <xf numFmtId="169" fontId="0" fillId="5" borderId="6" xfId="3" applyNumberFormat="1" applyFont="1" applyFill="1" applyBorder="1" applyAlignment="1">
      <alignment horizontal="center"/>
    </xf>
    <xf numFmtId="169" fontId="0" fillId="4" borderId="7" xfId="3" applyNumberFormat="1" applyFont="1" applyFill="1" applyBorder="1" applyAlignment="1">
      <alignment horizontal="center"/>
    </xf>
    <xf numFmtId="169" fontId="0" fillId="4" borderId="9" xfId="3" applyNumberFormat="1" applyFont="1" applyFill="1" applyBorder="1" applyAlignment="1">
      <alignment horizontal="center"/>
    </xf>
    <xf numFmtId="169" fontId="0" fillId="7" borderId="5" xfId="3" applyNumberFormat="1" applyFont="1" applyFill="1" applyBorder="1" applyAlignment="1">
      <alignment horizontal="center"/>
    </xf>
    <xf numFmtId="169" fontId="0" fillId="7" borderId="6" xfId="3" applyNumberFormat="1" applyFont="1" applyFill="1" applyBorder="1" applyAlignment="1">
      <alignment horizontal="center"/>
    </xf>
    <xf numFmtId="169" fontId="0" fillId="18" borderId="2" xfId="3" applyNumberFormat="1" applyFont="1" applyFill="1" applyBorder="1" applyAlignment="1">
      <alignment horizontal="center"/>
    </xf>
    <xf numFmtId="169" fontId="0" fillId="18" borderId="4" xfId="3" applyNumberFormat="1" applyFont="1" applyFill="1" applyBorder="1" applyAlignment="1">
      <alignment horizontal="center"/>
    </xf>
    <xf numFmtId="169" fontId="0" fillId="18" borderId="5" xfId="3" applyNumberFormat="1" applyFont="1" applyFill="1" applyBorder="1" applyAlignment="1">
      <alignment horizontal="center"/>
    </xf>
    <xf numFmtId="169" fontId="0" fillId="18" borderId="6" xfId="3" applyNumberFormat="1" applyFont="1" applyFill="1" applyBorder="1" applyAlignment="1">
      <alignment horizontal="center"/>
    </xf>
    <xf numFmtId="169" fontId="0" fillId="18" borderId="7" xfId="3" applyNumberFormat="1" applyFont="1" applyFill="1" applyBorder="1" applyAlignment="1">
      <alignment horizontal="center"/>
    </xf>
    <xf numFmtId="169" fontId="0" fillId="18" borderId="9" xfId="3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8" fontId="4" fillId="6" borderId="6" xfId="3" applyNumberFormat="1" applyFont="1" applyFill="1" applyBorder="1" applyAlignment="1">
      <alignment horizontal="center"/>
    </xf>
    <xf numFmtId="168" fontId="0" fillId="0" borderId="9" xfId="3" applyNumberFormat="1" applyFont="1" applyBorder="1" applyAlignment="1">
      <alignment horizontal="center"/>
    </xf>
    <xf numFmtId="168" fontId="0" fillId="0" borderId="0" xfId="3" applyNumberFormat="1" applyFont="1" applyBorder="1" applyAlignment="1">
      <alignment horizontal="center"/>
    </xf>
    <xf numFmtId="168" fontId="0" fillId="0" borderId="6" xfId="3" applyNumberFormat="1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7" borderId="20" xfId="3" applyFont="1" applyFill="1" applyBorder="1" applyAlignment="1">
      <alignment horizontal="center"/>
    </xf>
    <xf numFmtId="167" fontId="0" fillId="18" borderId="11" xfId="3" applyNumberFormat="1" applyFont="1" applyFill="1" applyBorder="1" applyAlignment="1">
      <alignment horizontal="center" vertical="center"/>
    </xf>
    <xf numFmtId="167" fontId="0" fillId="18" borderId="10" xfId="3" applyNumberFormat="1" applyFont="1" applyFill="1" applyBorder="1" applyAlignment="1">
      <alignment horizontal="center" vertical="center"/>
    </xf>
    <xf numFmtId="167" fontId="0" fillId="18" borderId="12" xfId="3" applyNumberFormat="1" applyFont="1" applyFill="1" applyBorder="1" applyAlignment="1">
      <alignment horizontal="center" vertical="center"/>
    </xf>
    <xf numFmtId="167" fontId="0" fillId="4" borderId="11" xfId="3" applyNumberFormat="1" applyFont="1" applyFill="1" applyBorder="1" applyAlignment="1">
      <alignment horizontal="center" vertical="center"/>
    </xf>
    <xf numFmtId="167" fontId="0" fillId="5" borderId="10" xfId="3" applyNumberFormat="1" applyFont="1" applyFill="1" applyBorder="1" applyAlignment="1">
      <alignment horizontal="center" vertical="center"/>
    </xf>
    <xf numFmtId="167" fontId="0" fillId="4" borderId="12" xfId="3" applyNumberFormat="1" applyFont="1" applyFill="1" applyBorder="1" applyAlignment="1">
      <alignment horizontal="center" vertical="center"/>
    </xf>
    <xf numFmtId="167" fontId="0" fillId="4" borderId="11" xfId="0" applyNumberFormat="1" applyFill="1" applyBorder="1" applyAlignment="1">
      <alignment horizontal="center"/>
    </xf>
    <xf numFmtId="167" fontId="0" fillId="7" borderId="1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7" fontId="0" fillId="5" borderId="10" xfId="0" applyNumberFormat="1" applyFill="1" applyBorder="1" applyAlignment="1">
      <alignment horizontal="center"/>
    </xf>
    <xf numFmtId="167" fontId="0" fillId="4" borderId="10" xfId="3" applyNumberFormat="1" applyFont="1" applyFill="1" applyBorder="1" applyAlignment="1">
      <alignment horizontal="center" vertical="center"/>
    </xf>
    <xf numFmtId="167" fontId="0" fillId="18" borderId="14" xfId="3" applyNumberFormat="1" applyFont="1" applyFill="1" applyBorder="1" applyAlignment="1">
      <alignment horizontal="center" vertical="center"/>
    </xf>
    <xf numFmtId="167" fontId="0" fillId="18" borderId="13" xfId="3" applyNumberFormat="1" applyFont="1" applyFill="1" applyBorder="1" applyAlignment="1">
      <alignment horizontal="center" vertical="center"/>
    </xf>
    <xf numFmtId="167" fontId="0" fillId="18" borderId="15" xfId="3" applyNumberFormat="1" applyFont="1" applyFill="1" applyBorder="1" applyAlignment="1">
      <alignment horizontal="center" vertical="center"/>
    </xf>
    <xf numFmtId="167" fontId="0" fillId="4" borderId="14" xfId="3" applyNumberFormat="1" applyFont="1" applyFill="1" applyBorder="1" applyAlignment="1">
      <alignment horizontal="center" vertical="center"/>
    </xf>
    <xf numFmtId="167" fontId="0" fillId="5" borderId="13" xfId="3" applyNumberFormat="1" applyFont="1" applyFill="1" applyBorder="1" applyAlignment="1">
      <alignment horizontal="center" vertical="center"/>
    </xf>
    <xf numFmtId="167" fontId="0" fillId="4" borderId="15" xfId="3" applyNumberFormat="1" applyFont="1" applyFill="1" applyBorder="1" applyAlignment="1">
      <alignment horizontal="center" vertical="center"/>
    </xf>
    <xf numFmtId="167" fontId="0" fillId="4" borderId="14" xfId="0" applyNumberFormat="1" applyFill="1" applyBorder="1" applyAlignment="1">
      <alignment horizontal="center"/>
    </xf>
    <xf numFmtId="167" fontId="0" fillId="7" borderId="13" xfId="0" applyNumberFormat="1" applyFill="1" applyBorder="1" applyAlignment="1">
      <alignment horizontal="center"/>
    </xf>
    <xf numFmtId="167" fontId="0" fillId="4" borderId="15" xfId="0" applyNumberForma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168" fontId="4" fillId="6" borderId="10" xfId="3" applyNumberFormat="1" applyFont="1" applyFill="1" applyBorder="1" applyAlignment="1">
      <alignment horizontal="center"/>
    </xf>
    <xf numFmtId="168" fontId="4" fillId="6" borderId="12" xfId="3" applyNumberFormat="1" applyFont="1" applyFill="1" applyBorder="1" applyAlignment="1">
      <alignment horizontal="center"/>
    </xf>
    <xf numFmtId="168" fontId="0" fillId="8" borderId="15" xfId="0" applyNumberFormat="1" applyFill="1" applyBorder="1" applyAlignment="1">
      <alignment horizontal="center"/>
    </xf>
    <xf numFmtId="168" fontId="0" fillId="9" borderId="13" xfId="0" applyNumberFormat="1" applyFill="1" applyBorder="1" applyAlignment="1">
      <alignment horizontal="center"/>
    </xf>
    <xf numFmtId="168" fontId="0" fillId="8" borderId="14" xfId="0" applyNumberFormat="1" applyFill="1" applyBorder="1" applyAlignment="1">
      <alignment horizontal="center"/>
    </xf>
    <xf numFmtId="168" fontId="0" fillId="8" borderId="14" xfId="3" applyNumberFormat="1" applyFont="1" applyFill="1" applyBorder="1" applyAlignment="1">
      <alignment horizontal="center" vertical="center"/>
    </xf>
    <xf numFmtId="168" fontId="0" fillId="9" borderId="13" xfId="3" applyNumberFormat="1" applyFont="1" applyFill="1" applyBorder="1" applyAlignment="1">
      <alignment horizontal="center" vertical="center"/>
    </xf>
    <xf numFmtId="168" fontId="0" fillId="8" borderId="15" xfId="3" applyNumberFormat="1" applyFont="1" applyFill="1" applyBorder="1" applyAlignment="1">
      <alignment horizontal="center" vertical="center"/>
    </xf>
    <xf numFmtId="168" fontId="0" fillId="13" borderId="14" xfId="0" applyNumberFormat="1" applyFill="1" applyBorder="1" applyAlignment="1">
      <alignment horizontal="center" vertical="center"/>
    </xf>
    <xf numFmtId="168" fontId="0" fillId="17" borderId="13" xfId="0" applyNumberFormat="1" applyFill="1" applyBorder="1" applyAlignment="1">
      <alignment horizontal="center" vertical="center"/>
    </xf>
    <xf numFmtId="168" fontId="0" fillId="13" borderId="15" xfId="0" applyNumberFormat="1" applyFill="1" applyBorder="1" applyAlignment="1">
      <alignment horizontal="center" vertical="center"/>
    </xf>
    <xf numFmtId="168" fontId="0" fillId="16" borderId="13" xfId="0" applyNumberFormat="1" applyFill="1" applyBorder="1" applyAlignment="1">
      <alignment horizontal="center" vertical="center"/>
    </xf>
    <xf numFmtId="168" fontId="0" fillId="15" borderId="13" xfId="0" applyNumberFormat="1" applyFill="1" applyBorder="1" applyAlignment="1">
      <alignment horizontal="center" vertical="center"/>
    </xf>
    <xf numFmtId="168" fontId="0" fillId="16" borderId="15" xfId="0" applyNumberFormat="1" applyFill="1" applyBorder="1" applyAlignment="1">
      <alignment horizontal="center" vertical="center"/>
    </xf>
    <xf numFmtId="168" fontId="0" fillId="16" borderId="14" xfId="0" applyNumberFormat="1" applyFill="1" applyBorder="1" applyAlignment="1">
      <alignment horizontal="center" vertical="center"/>
    </xf>
    <xf numFmtId="168" fontId="0" fillId="7" borderId="13" xfId="3" applyNumberFormat="1" applyFont="1" applyFill="1" applyBorder="1" applyAlignment="1">
      <alignment horizontal="center" vertical="center"/>
    </xf>
    <xf numFmtId="168" fontId="0" fillId="14" borderId="15" xfId="3" applyNumberFormat="1" applyFont="1" applyFill="1" applyBorder="1" applyAlignment="1">
      <alignment horizontal="center" vertical="center"/>
    </xf>
    <xf numFmtId="168" fontId="0" fillId="10" borderId="13" xfId="3" applyNumberFormat="1" applyFont="1" applyFill="1" applyBorder="1" applyAlignment="1">
      <alignment horizontal="center" vertical="center"/>
    </xf>
    <xf numFmtId="168" fontId="0" fillId="14" borderId="14" xfId="3" applyNumberFormat="1" applyFont="1" applyFill="1" applyBorder="1" applyAlignment="1">
      <alignment horizontal="center" vertical="center"/>
    </xf>
    <xf numFmtId="168" fontId="0" fillId="12" borderId="14" xfId="3" applyNumberFormat="1" applyFont="1" applyFill="1" applyBorder="1" applyAlignment="1">
      <alignment horizontal="center" vertical="center"/>
    </xf>
    <xf numFmtId="168" fontId="0" fillId="11" borderId="13" xfId="0" applyNumberFormat="1" applyFill="1" applyBorder="1" applyAlignment="1">
      <alignment horizontal="center" vertical="center"/>
    </xf>
    <xf numFmtId="168" fontId="0" fillId="12" borderId="15" xfId="3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4" fillId="6" borderId="5" xfId="3" applyFont="1" applyFill="1" applyBorder="1" applyAlignment="1">
      <alignment horizontal="center"/>
    </xf>
    <xf numFmtId="164" fontId="4" fillId="6" borderId="0" xfId="3" applyFont="1" applyFill="1" applyAlignment="1">
      <alignment horizontal="center"/>
    </xf>
    <xf numFmtId="164" fontId="4" fillId="6" borderId="6" xfId="3" applyFont="1" applyFill="1" applyBorder="1" applyAlignment="1">
      <alignment horizontal="center"/>
    </xf>
  </cellXfs>
  <cellStyles count="4">
    <cellStyle name="Comma" xfId="3" builtinId="3"/>
    <cellStyle name="Good" xfId="1" builtinId="26"/>
    <cellStyle name="Normal" xfId="0" builtinId="0"/>
    <cellStyle name="Output" xfId="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3259392823014E-2"/>
          <c:y val="9.4393189250415628E-3"/>
          <c:w val="0.94027705205990408"/>
          <c:h val="0.96565345805092229"/>
        </c:manualLayout>
      </c:layout>
      <c:scatterChart>
        <c:scatterStyle val="lineMarker"/>
        <c:varyColors val="0"/>
        <c:ser>
          <c:idx val="0"/>
          <c:order val="0"/>
          <c:tx>
            <c:v>width</c:v>
          </c:tx>
          <c:spPr>
            <a:ln w="6350">
              <a:solidFill>
                <a:srgbClr val="C00000"/>
              </a:solidFill>
            </a:ln>
          </c:spPr>
          <c:marker>
            <c:symbol val="diamond"/>
            <c:size val="4"/>
            <c:spPr>
              <a:solidFill>
                <a:srgbClr val="C00000"/>
              </a:solidFill>
            </c:spPr>
          </c:marker>
          <c:xVal>
            <c:numRef>
              <c:f>Hilfstabelle_Geometrie!$A$2:$A$170</c:f>
              <c:numCache>
                <c:formatCode>General</c:formatCode>
                <c:ptCount val="169"/>
                <c:pt idx="0">
                  <c:v>2.4042209615320855</c:v>
                </c:pt>
                <c:pt idx="1">
                  <c:v>2.9042021886885934</c:v>
                </c:pt>
                <c:pt idx="2">
                  <c:v>3.4041839046150124</c:v>
                </c:pt>
                <c:pt idx="3">
                  <c:v>4.9041314186259068</c:v>
                </c:pt>
                <c:pt idx="4">
                  <c:v>#N/A</c:v>
                </c:pt>
                <c:pt idx="5">
                  <c:v>5.9020978998622944</c:v>
                </c:pt>
                <c:pt idx="6">
                  <c:v>#N/A</c:v>
                </c:pt>
                <c:pt idx="7">
                  <c:v>8.083889280006618</c:v>
                </c:pt>
                <c:pt idx="8">
                  <c:v>#N/A</c:v>
                </c:pt>
                <c:pt idx="9">
                  <c:v>10.266678759141216</c:v>
                </c:pt>
                <c:pt idx="10">
                  <c:v>#N/A</c:v>
                </c:pt>
                <c:pt idx="11">
                  <c:v>12.448461696569689</c:v>
                </c:pt>
                <c:pt idx="12">
                  <c:v>#N/A</c:v>
                </c:pt>
                <c:pt idx="13">
                  <c:v>14.631233307555275</c:v>
                </c:pt>
                <c:pt idx="14">
                  <c:v>#N/A</c:v>
                </c:pt>
                <c:pt idx="15">
                  <c:v>15.458048723885605</c:v>
                </c:pt>
                <c:pt idx="16">
                  <c:v>#N/A</c:v>
                </c:pt>
                <c:pt idx="17">
                  <c:v>16.260008833789954</c:v>
                </c:pt>
                <c:pt idx="18">
                  <c:v>#N/A</c:v>
                </c:pt>
                <c:pt idx="19">
                  <c:v>17.963015805579317</c:v>
                </c:pt>
                <c:pt idx="20">
                  <c:v>#N/A</c:v>
                </c:pt>
                <c:pt idx="21">
                  <c:v>19.667008588308153</c:v>
                </c:pt>
                <c:pt idx="22">
                  <c:v>#N/A</c:v>
                </c:pt>
                <c:pt idx="23">
                  <c:v>20.49374807424331</c:v>
                </c:pt>
                <c:pt idx="24">
                  <c:v>#N/A</c:v>
                </c:pt>
                <c:pt idx="25">
                  <c:v>21.295687765216861</c:v>
                </c:pt>
                <c:pt idx="26">
                  <c:v>#N/A</c:v>
                </c:pt>
                <c:pt idx="27">
                  <c:v>23.296519024746431</c:v>
                </c:pt>
                <c:pt idx="28">
                  <c:v>#N/A</c:v>
                </c:pt>
                <c:pt idx="29">
                  <c:v>23.998453054291542</c:v>
                </c:pt>
                <c:pt idx="30">
                  <c:v>#N/A</c:v>
                </c:pt>
                <c:pt idx="31">
                  <c:v>25.99924405061148</c:v>
                </c:pt>
                <c:pt idx="32">
                  <c:v>#N/A</c:v>
                </c:pt>
                <c:pt idx="33">
                  <c:v>28.402947523996573</c:v>
                </c:pt>
                <c:pt idx="34">
                  <c:v>#N/A</c:v>
                </c:pt>
                <c:pt idx="35">
                  <c:v>29.901757747344199</c:v>
                </c:pt>
                <c:pt idx="36">
                  <c:v>#N/A</c:v>
                </c:pt>
                <c:pt idx="37">
                  <c:v>31.903539250927178</c:v>
                </c:pt>
                <c:pt idx="38">
                  <c:v>#N/A</c:v>
                </c:pt>
                <c:pt idx="39">
                  <c:v>33.904357414274102</c:v>
                </c:pt>
                <c:pt idx="40">
                  <c:v>#N/A</c:v>
                </c:pt>
                <c:pt idx="41">
                  <c:v>35.906208421483811</c:v>
                </c:pt>
                <c:pt idx="42">
                  <c:v>#N/A</c:v>
                </c:pt>
                <c:pt idx="43">
                  <c:v>37.907088789888284</c:v>
                </c:pt>
                <c:pt idx="44">
                  <c:v>#N/A</c:v>
                </c:pt>
                <c:pt idx="45">
                  <c:v>39.908994765613009</c:v>
                </c:pt>
                <c:pt idx="46">
                  <c:v>#N/A</c:v>
                </c:pt>
                <c:pt idx="47">
                  <c:v>41.909922810948615</c:v>
                </c:pt>
                <c:pt idx="48">
                  <c:v>#N/A</c:v>
                </c:pt>
                <c:pt idx="49">
                  <c:v>43.911869219565325</c:v>
                </c:pt>
                <c:pt idx="50">
                  <c:v>#N/A</c:v>
                </c:pt>
                <c:pt idx="51">
                  <c:v>45.912830413272417</c:v>
                </c:pt>
                <c:pt idx="52">
                  <c:v>#N/A</c:v>
                </c:pt>
                <c:pt idx="53">
                  <c:v>47.914802718802463</c:v>
                </c:pt>
                <c:pt idx="54">
                  <c:v>#N/A</c:v>
                </c:pt>
                <c:pt idx="55">
                  <c:v>49.915782532043764</c:v>
                </c:pt>
                <c:pt idx="56">
                  <c:v>#N/A</c:v>
                </c:pt>
                <c:pt idx="57">
                  <c:v>51.917766198308641</c:v>
                </c:pt>
                <c:pt idx="58">
                  <c:v>#N/A</c:v>
                </c:pt>
                <c:pt idx="59">
                  <c:v>54.402745937467266</c:v>
                </c:pt>
                <c:pt idx="60">
                  <c:v>#N/A</c:v>
                </c:pt>
                <c:pt idx="61">
                  <c:v>56.404727658422701</c:v>
                </c:pt>
                <c:pt idx="62">
                  <c:v>#N/A</c:v>
                </c:pt>
                <c:pt idx="63">
                  <c:v>58.405709388508527</c:v>
                </c:pt>
                <c:pt idx="64">
                  <c:v>#N/A</c:v>
                </c:pt>
                <c:pt idx="65">
                  <c:v>60.407691109463961</c:v>
                </c:pt>
                <c:pt idx="66">
                  <c:v>#N/A</c:v>
                </c:pt>
                <c:pt idx="67">
                  <c:v>62.408672839549787</c:v>
                </c:pt>
                <c:pt idx="68">
                  <c:v>#N/A</c:v>
                </c:pt>
                <c:pt idx="69">
                  <c:v>64.410654560505222</c:v>
                </c:pt>
                <c:pt idx="70">
                  <c:v>#N/A</c:v>
                </c:pt>
                <c:pt idx="71">
                  <c:v>66.411636290591034</c:v>
                </c:pt>
                <c:pt idx="72">
                  <c:v>#N/A</c:v>
                </c:pt>
                <c:pt idx="73">
                  <c:v>68.413618011546461</c:v>
                </c:pt>
                <c:pt idx="74">
                  <c:v>#N/A</c:v>
                </c:pt>
                <c:pt idx="75">
                  <c:v>70.414599741632273</c:v>
                </c:pt>
                <c:pt idx="76">
                  <c:v>#N/A</c:v>
                </c:pt>
                <c:pt idx="77">
                  <c:v>72.4165814625877</c:v>
                </c:pt>
                <c:pt idx="78">
                  <c:v>#N/A</c:v>
                </c:pt>
                <c:pt idx="79">
                  <c:v>74.417563192673512</c:v>
                </c:pt>
                <c:pt idx="80">
                  <c:v>#N/A</c:v>
                </c:pt>
                <c:pt idx="81">
                  <c:v>76.41954491362894</c:v>
                </c:pt>
                <c:pt idx="82">
                  <c:v>#N/A</c:v>
                </c:pt>
                <c:pt idx="83">
                  <c:v>78.420526643714751</c:v>
                </c:pt>
                <c:pt idx="84">
                  <c:v>#N/A</c:v>
                </c:pt>
                <c:pt idx="85">
                  <c:v>80.422508364670179</c:v>
                </c:pt>
                <c:pt idx="86">
                  <c:v>#N/A</c:v>
                </c:pt>
                <c:pt idx="87">
                  <c:v>82.423490094755991</c:v>
                </c:pt>
                <c:pt idx="88">
                  <c:v>#N/A</c:v>
                </c:pt>
                <c:pt idx="89">
                  <c:v>84.425471815711418</c:v>
                </c:pt>
                <c:pt idx="90">
                  <c:v>#N/A</c:v>
                </c:pt>
                <c:pt idx="91">
                  <c:v>86.42645354579723</c:v>
                </c:pt>
                <c:pt idx="92">
                  <c:v>#N/A</c:v>
                </c:pt>
                <c:pt idx="93">
                  <c:v>88.428435266752658</c:v>
                </c:pt>
                <c:pt idx="94">
                  <c:v>#N/A</c:v>
                </c:pt>
                <c:pt idx="95">
                  <c:v>90.429416996838469</c:v>
                </c:pt>
                <c:pt idx="96">
                  <c:v>#N/A</c:v>
                </c:pt>
                <c:pt idx="97">
                  <c:v>92.431398717793897</c:v>
                </c:pt>
                <c:pt idx="98">
                  <c:v>93.495389003056928</c:v>
                </c:pt>
                <c:pt idx="99">
                  <c:v>#N/A</c:v>
                </c:pt>
                <c:pt idx="100">
                  <c:v>94.432380447879723</c:v>
                </c:pt>
                <c:pt idx="101">
                  <c:v>#N/A</c:v>
                </c:pt>
                <c:pt idx="102">
                  <c:v>96.43436216883515</c:v>
                </c:pt>
                <c:pt idx="103">
                  <c:v>#N/A</c:v>
                </c:pt>
                <c:pt idx="104">
                  <c:v>98.435343898920962</c:v>
                </c:pt>
                <c:pt idx="105">
                  <c:v>#N/A</c:v>
                </c:pt>
                <c:pt idx="106">
                  <c:v>100.43732561987639</c:v>
                </c:pt>
                <c:pt idx="107">
                  <c:v>#N/A</c:v>
                </c:pt>
                <c:pt idx="108">
                  <c:v>102.4383073499622</c:v>
                </c:pt>
                <c:pt idx="109">
                  <c:v>104.49528856874608</c:v>
                </c:pt>
                <c:pt idx="110">
                  <c:v>#N/A</c:v>
                </c:pt>
                <c:pt idx="111">
                  <c:v>104.81528564702067</c:v>
                </c:pt>
                <c:pt idx="112">
                  <c:v>#N/A</c:v>
                </c:pt>
                <c:pt idx="113">
                  <c:v>105.71499908696082</c:v>
                </c:pt>
                <c:pt idx="114">
                  <c:v>#N/A</c:v>
                </c:pt>
                <c:pt idx="115">
                  <c:v>106.51699176438652</c:v>
                </c:pt>
                <c:pt idx="116">
                  <c:v>#N/A</c:v>
                </c:pt>
                <c:pt idx="117">
                  <c:v>108.61797258143315</c:v>
                </c:pt>
                <c:pt idx="118">
                  <c:v>#N/A</c:v>
                </c:pt>
                <c:pt idx="119">
                  <c:v>110.7199533893494</c:v>
                </c:pt>
                <c:pt idx="120">
                  <c:v>#N/A</c:v>
                </c:pt>
                <c:pt idx="121">
                  <c:v>112.72093511943521</c:v>
                </c:pt>
                <c:pt idx="122">
                  <c:v>#N/A</c:v>
                </c:pt>
                <c:pt idx="123">
                  <c:v>114.72291684039064</c:v>
                </c:pt>
                <c:pt idx="124">
                  <c:v>#N/A</c:v>
                </c:pt>
                <c:pt idx="125">
                  <c:v>116.72389857047645</c:v>
                </c:pt>
                <c:pt idx="126">
                  <c:v>#N/A</c:v>
                </c:pt>
                <c:pt idx="127">
                  <c:v>118.72588029143188</c:v>
                </c:pt>
                <c:pt idx="128">
                  <c:v>#N/A</c:v>
                </c:pt>
                <c:pt idx="129">
                  <c:v>120.72686202151769</c:v>
                </c:pt>
                <c:pt idx="130">
                  <c:v>#N/A</c:v>
                </c:pt>
                <c:pt idx="131">
                  <c:v>122.72884374247312</c:v>
                </c:pt>
                <c:pt idx="132">
                  <c:v>#N/A</c:v>
                </c:pt>
                <c:pt idx="133">
                  <c:v>124.72982547255893</c:v>
                </c:pt>
                <c:pt idx="134">
                  <c:v>#N/A</c:v>
                </c:pt>
                <c:pt idx="135">
                  <c:v>126.73180719351436</c:v>
                </c:pt>
                <c:pt idx="136">
                  <c:v>#N/A</c:v>
                </c:pt>
                <c:pt idx="137">
                  <c:v>128.7327889236002</c:v>
                </c:pt>
                <c:pt idx="138">
                  <c:v>#N/A</c:v>
                </c:pt>
                <c:pt idx="139">
                  <c:v>130.73477064455562</c:v>
                </c:pt>
                <c:pt idx="140">
                  <c:v>#N/A</c:v>
                </c:pt>
                <c:pt idx="141">
                  <c:v>132.73575237464146</c:v>
                </c:pt>
                <c:pt idx="142">
                  <c:v>#N/A</c:v>
                </c:pt>
                <c:pt idx="143">
                  <c:v>134.73773409559689</c:v>
                </c:pt>
                <c:pt idx="144">
                  <c:v>#N/A</c:v>
                </c:pt>
                <c:pt idx="145">
                  <c:v>136.73871582568273</c:v>
                </c:pt>
                <c:pt idx="146">
                  <c:v>#N/A</c:v>
                </c:pt>
                <c:pt idx="147">
                  <c:v>138.74069754663816</c:v>
                </c:pt>
                <c:pt idx="148">
                  <c:v>#N/A</c:v>
                </c:pt>
                <c:pt idx="149">
                  <c:v>140.741679276724</c:v>
                </c:pt>
                <c:pt idx="150">
                  <c:v>#N/A</c:v>
                </c:pt>
                <c:pt idx="151">
                  <c:v>142.74366099767943</c:v>
                </c:pt>
                <c:pt idx="152">
                  <c:v>#N/A</c:v>
                </c:pt>
                <c:pt idx="153">
                  <c:v>144.74464272776527</c:v>
                </c:pt>
                <c:pt idx="154">
                  <c:v>#N/A</c:v>
                </c:pt>
                <c:pt idx="155">
                  <c:v>146.74662444872069</c:v>
                </c:pt>
                <c:pt idx="156">
                  <c:v>#N/A</c:v>
                </c:pt>
                <c:pt idx="157">
                  <c:v>148.74760617880654</c:v>
                </c:pt>
                <c:pt idx="158">
                  <c:v>#N/A</c:v>
                </c:pt>
                <c:pt idx="159">
                  <c:v>150.74958789976196</c:v>
                </c:pt>
                <c:pt idx="160">
                  <c:v>#N/A</c:v>
                </c:pt>
                <c:pt idx="161">
                  <c:v>152.7505696298478</c:v>
                </c:pt>
                <c:pt idx="162">
                  <c:v>#N/A</c:v>
                </c:pt>
                <c:pt idx="163">
                  <c:v>154.75255135080323</c:v>
                </c:pt>
                <c:pt idx="164">
                  <c:v>#N/A</c:v>
                </c:pt>
                <c:pt idx="165">
                  <c:v>156.25353764608502</c:v>
                </c:pt>
                <c:pt idx="166">
                  <c:v>#N/A</c:v>
                </c:pt>
                <c:pt idx="167">
                  <c:v>157.75452394136681</c:v>
                </c:pt>
                <c:pt idx="168">
                  <c:v>158.5</c:v>
                </c:pt>
              </c:numCache>
            </c:numRef>
          </c:xVal>
          <c:yVal>
            <c:numRef>
              <c:f>Hilfstabelle_Geometrie!$B$2:$B$170</c:f>
              <c:numCache>
                <c:formatCode>General</c:formatCode>
                <c:ptCount val="169"/>
                <c:pt idx="0">
                  <c:v>-26.675000000000001</c:v>
                </c:pt>
                <c:pt idx="1">
                  <c:v>-30.85</c:v>
                </c:pt>
                <c:pt idx="2">
                  <c:v>-35</c:v>
                </c:pt>
                <c:pt idx="3">
                  <c:v>-35</c:v>
                </c:pt>
                <c:pt idx="4">
                  <c:v>-35</c:v>
                </c:pt>
                <c:pt idx="5">
                  <c:v>-35</c:v>
                </c:pt>
                <c:pt idx="6">
                  <c:v>#N/A</c:v>
                </c:pt>
                <c:pt idx="7">
                  <c:v>-35</c:v>
                </c:pt>
                <c:pt idx="8">
                  <c:v>#N/A</c:v>
                </c:pt>
                <c:pt idx="9">
                  <c:v>-35</c:v>
                </c:pt>
                <c:pt idx="10">
                  <c:v>#N/A</c:v>
                </c:pt>
                <c:pt idx="11">
                  <c:v>-35</c:v>
                </c:pt>
                <c:pt idx="12">
                  <c:v>#N/A</c:v>
                </c:pt>
                <c:pt idx="13">
                  <c:v>-35</c:v>
                </c:pt>
                <c:pt idx="14">
                  <c:v>#N/A</c:v>
                </c:pt>
                <c:pt idx="15">
                  <c:v>-35</c:v>
                </c:pt>
                <c:pt idx="16">
                  <c:v>#N/A</c:v>
                </c:pt>
                <c:pt idx="17">
                  <c:v>-35</c:v>
                </c:pt>
                <c:pt idx="18">
                  <c:v>#N/A</c:v>
                </c:pt>
                <c:pt idx="19">
                  <c:v>-35</c:v>
                </c:pt>
                <c:pt idx="20">
                  <c:v>#N/A</c:v>
                </c:pt>
                <c:pt idx="21">
                  <c:v>-35</c:v>
                </c:pt>
                <c:pt idx="22">
                  <c:v>#N/A</c:v>
                </c:pt>
                <c:pt idx="23">
                  <c:v>-35</c:v>
                </c:pt>
                <c:pt idx="24">
                  <c:v>#N/A</c:v>
                </c:pt>
                <c:pt idx="25">
                  <c:v>-35</c:v>
                </c:pt>
                <c:pt idx="26">
                  <c:v>#N/A</c:v>
                </c:pt>
                <c:pt idx="27">
                  <c:v>-35</c:v>
                </c:pt>
                <c:pt idx="28">
                  <c:v>#N/A</c:v>
                </c:pt>
                <c:pt idx="29">
                  <c:v>-35</c:v>
                </c:pt>
                <c:pt idx="30">
                  <c:v>#N/A</c:v>
                </c:pt>
                <c:pt idx="31">
                  <c:v>-35</c:v>
                </c:pt>
                <c:pt idx="32">
                  <c:v>#N/A</c:v>
                </c:pt>
                <c:pt idx="33">
                  <c:v>-35</c:v>
                </c:pt>
                <c:pt idx="34">
                  <c:v>#N/A</c:v>
                </c:pt>
                <c:pt idx="35">
                  <c:v>-35</c:v>
                </c:pt>
                <c:pt idx="36">
                  <c:v>#N/A</c:v>
                </c:pt>
                <c:pt idx="37">
                  <c:v>-35</c:v>
                </c:pt>
                <c:pt idx="38">
                  <c:v>#N/A</c:v>
                </c:pt>
                <c:pt idx="39">
                  <c:v>-35</c:v>
                </c:pt>
                <c:pt idx="40">
                  <c:v>#N/A</c:v>
                </c:pt>
                <c:pt idx="41">
                  <c:v>-35</c:v>
                </c:pt>
                <c:pt idx="42">
                  <c:v>#N/A</c:v>
                </c:pt>
                <c:pt idx="43">
                  <c:v>-35</c:v>
                </c:pt>
                <c:pt idx="44">
                  <c:v>#N/A</c:v>
                </c:pt>
                <c:pt idx="45">
                  <c:v>-35</c:v>
                </c:pt>
                <c:pt idx="46">
                  <c:v>#N/A</c:v>
                </c:pt>
                <c:pt idx="47">
                  <c:v>-35</c:v>
                </c:pt>
                <c:pt idx="48">
                  <c:v>#N/A</c:v>
                </c:pt>
                <c:pt idx="49">
                  <c:v>-35</c:v>
                </c:pt>
                <c:pt idx="50">
                  <c:v>#N/A</c:v>
                </c:pt>
                <c:pt idx="51">
                  <c:v>-35</c:v>
                </c:pt>
                <c:pt idx="52">
                  <c:v>#N/A</c:v>
                </c:pt>
                <c:pt idx="53">
                  <c:v>-35</c:v>
                </c:pt>
                <c:pt idx="54">
                  <c:v>#N/A</c:v>
                </c:pt>
                <c:pt idx="55">
                  <c:v>-35</c:v>
                </c:pt>
                <c:pt idx="56">
                  <c:v>#N/A</c:v>
                </c:pt>
                <c:pt idx="57">
                  <c:v>-35</c:v>
                </c:pt>
                <c:pt idx="58">
                  <c:v>#N/A</c:v>
                </c:pt>
                <c:pt idx="59">
                  <c:v>-35.004129411824472</c:v>
                </c:pt>
                <c:pt idx="60">
                  <c:v>#N/A</c:v>
                </c:pt>
                <c:pt idx="61">
                  <c:v>-42.063628160863701</c:v>
                </c:pt>
                <c:pt idx="62">
                  <c:v>#N/A</c:v>
                </c:pt>
                <c:pt idx="63">
                  <c:v>-47.407120970756857</c:v>
                </c:pt>
                <c:pt idx="64">
                  <c:v>#N/A</c:v>
                </c:pt>
                <c:pt idx="65">
                  <c:v>-51.575438314205819</c:v>
                </c:pt>
                <c:pt idx="66">
                  <c:v>#N/A</c:v>
                </c:pt>
                <c:pt idx="67">
                  <c:v>-54.833464154791507</c:v>
                </c:pt>
                <c:pt idx="68">
                  <c:v>#N/A</c:v>
                </c:pt>
                <c:pt idx="69">
                  <c:v>-57.339606644727724</c:v>
                </c:pt>
                <c:pt idx="70">
                  <c:v>#N/A</c:v>
                </c:pt>
                <c:pt idx="71">
                  <c:v>-57.339606644727724</c:v>
                </c:pt>
                <c:pt idx="72">
                  <c:v>#N/A</c:v>
                </c:pt>
                <c:pt idx="73">
                  <c:v>-57.33</c:v>
                </c:pt>
                <c:pt idx="74">
                  <c:v>#N/A</c:v>
                </c:pt>
                <c:pt idx="75">
                  <c:v>-57.33</c:v>
                </c:pt>
                <c:pt idx="76">
                  <c:v>#N/A</c:v>
                </c:pt>
                <c:pt idx="77">
                  <c:v>-57.33</c:v>
                </c:pt>
                <c:pt idx="78">
                  <c:v>#N/A</c:v>
                </c:pt>
                <c:pt idx="79">
                  <c:v>-57.33</c:v>
                </c:pt>
                <c:pt idx="80">
                  <c:v>#N/A</c:v>
                </c:pt>
                <c:pt idx="81">
                  <c:v>-57.33</c:v>
                </c:pt>
                <c:pt idx="82">
                  <c:v>#N/A</c:v>
                </c:pt>
                <c:pt idx="83">
                  <c:v>-57.33</c:v>
                </c:pt>
                <c:pt idx="84">
                  <c:v>#N/A</c:v>
                </c:pt>
                <c:pt idx="85">
                  <c:v>-57.33</c:v>
                </c:pt>
                <c:pt idx="86">
                  <c:v>#N/A</c:v>
                </c:pt>
                <c:pt idx="87">
                  <c:v>-57.33</c:v>
                </c:pt>
                <c:pt idx="88">
                  <c:v>#N/A</c:v>
                </c:pt>
                <c:pt idx="89">
                  <c:v>-57.33</c:v>
                </c:pt>
                <c:pt idx="90">
                  <c:v>#N/A</c:v>
                </c:pt>
                <c:pt idx="91">
                  <c:v>-57.33</c:v>
                </c:pt>
                <c:pt idx="92">
                  <c:v>#N/A</c:v>
                </c:pt>
                <c:pt idx="93">
                  <c:v>-57.33</c:v>
                </c:pt>
                <c:pt idx="94">
                  <c:v>#N/A</c:v>
                </c:pt>
                <c:pt idx="95">
                  <c:v>-57.33</c:v>
                </c:pt>
                <c:pt idx="96">
                  <c:v>#N/A</c:v>
                </c:pt>
                <c:pt idx="97">
                  <c:v>-57.33</c:v>
                </c:pt>
                <c:pt idx="98">
                  <c:v>-57.33</c:v>
                </c:pt>
                <c:pt idx="99">
                  <c:v>#N/A</c:v>
                </c:pt>
                <c:pt idx="100">
                  <c:v>-57.33</c:v>
                </c:pt>
                <c:pt idx="101">
                  <c:v>#N/A</c:v>
                </c:pt>
                <c:pt idx="102">
                  <c:v>-57.33</c:v>
                </c:pt>
                <c:pt idx="103">
                  <c:v>#N/A</c:v>
                </c:pt>
                <c:pt idx="104">
                  <c:v>-57.33</c:v>
                </c:pt>
                <c:pt idx="105">
                  <c:v>#N/A</c:v>
                </c:pt>
                <c:pt idx="106">
                  <c:v>-57.33</c:v>
                </c:pt>
                <c:pt idx="107">
                  <c:v>#N/A</c:v>
                </c:pt>
                <c:pt idx="108">
                  <c:v>-57.33</c:v>
                </c:pt>
                <c:pt idx="109">
                  <c:v>-57.33</c:v>
                </c:pt>
                <c:pt idx="110">
                  <c:v>#N/A</c:v>
                </c:pt>
                <c:pt idx="111">
                  <c:v>-57.33</c:v>
                </c:pt>
                <c:pt idx="112">
                  <c:v>#N/A</c:v>
                </c:pt>
                <c:pt idx="113">
                  <c:v>-57.33</c:v>
                </c:pt>
                <c:pt idx="114">
                  <c:v>#N/A</c:v>
                </c:pt>
                <c:pt idx="115">
                  <c:v>-57.33</c:v>
                </c:pt>
                <c:pt idx="116">
                  <c:v>#N/A</c:v>
                </c:pt>
                <c:pt idx="117">
                  <c:v>-57.33</c:v>
                </c:pt>
                <c:pt idx="118">
                  <c:v>#N/A</c:v>
                </c:pt>
                <c:pt idx="119">
                  <c:v>-57.25</c:v>
                </c:pt>
                <c:pt idx="120">
                  <c:v>#N/A</c:v>
                </c:pt>
                <c:pt idx="121">
                  <c:v>-57.201415130459885</c:v>
                </c:pt>
                <c:pt idx="122">
                  <c:v>#N/A</c:v>
                </c:pt>
                <c:pt idx="123">
                  <c:v>-57.055314867799474</c:v>
                </c:pt>
                <c:pt idx="124">
                  <c:v>#N/A</c:v>
                </c:pt>
                <c:pt idx="125">
                  <c:v>-56.811093647910042</c:v>
                </c:pt>
                <c:pt idx="126">
                  <c:v>#N/A</c:v>
                </c:pt>
                <c:pt idx="127">
                  <c:v>-56.467232256016921</c:v>
                </c:pt>
                <c:pt idx="128">
                  <c:v>#N/A</c:v>
                </c:pt>
                <c:pt idx="129">
                  <c:v>-56.022243255188236</c:v>
                </c:pt>
                <c:pt idx="130">
                  <c:v>#N/A</c:v>
                </c:pt>
                <c:pt idx="131">
                  <c:v>-55.473242126034549</c:v>
                </c:pt>
                <c:pt idx="132">
                  <c:v>#N/A</c:v>
                </c:pt>
                <c:pt idx="133">
                  <c:v>-54.817661629650367</c:v>
                </c:pt>
                <c:pt idx="134">
                  <c:v>#N/A</c:v>
                </c:pt>
                <c:pt idx="135">
                  <c:v>-54.050955353442461</c:v>
                </c:pt>
                <c:pt idx="136">
                  <c:v>#N/A</c:v>
                </c:pt>
                <c:pt idx="137">
                  <c:v>-53.169100265752817</c:v>
                </c:pt>
                <c:pt idx="138">
                  <c:v>#N/A</c:v>
                </c:pt>
                <c:pt idx="139">
                  <c:v>-52.165351207420073</c:v>
                </c:pt>
                <c:pt idx="140">
                  <c:v>#N/A</c:v>
                </c:pt>
                <c:pt idx="141">
                  <c:v>-51.033551012289848</c:v>
                </c:pt>
                <c:pt idx="142">
                  <c:v>#N/A</c:v>
                </c:pt>
                <c:pt idx="143">
                  <c:v>-49.763790730757378</c:v>
                </c:pt>
                <c:pt idx="144">
                  <c:v>#N/A</c:v>
                </c:pt>
                <c:pt idx="145">
                  <c:v>-48.346523598970187</c:v>
                </c:pt>
                <c:pt idx="146">
                  <c:v>#N/A</c:v>
                </c:pt>
                <c:pt idx="147">
                  <c:v>-46.766855555224396</c:v>
                </c:pt>
                <c:pt idx="148">
                  <c:v>#N/A</c:v>
                </c:pt>
                <c:pt idx="149">
                  <c:v>-45.009357567233174</c:v>
                </c:pt>
                <c:pt idx="150">
                  <c:v>#N/A</c:v>
                </c:pt>
                <c:pt idx="151">
                  <c:v>-43.050384417323272</c:v>
                </c:pt>
                <c:pt idx="152">
                  <c:v>#N/A</c:v>
                </c:pt>
                <c:pt idx="153">
                  <c:v>-40.863077496094171</c:v>
                </c:pt>
                <c:pt idx="154">
                  <c:v>#N/A</c:v>
                </c:pt>
                <c:pt idx="155">
                  <c:v>-38.406058477314168</c:v>
                </c:pt>
                <c:pt idx="156">
                  <c:v>#N/A</c:v>
                </c:pt>
                <c:pt idx="157">
                  <c:v>-35.626294300923632</c:v>
                </c:pt>
                <c:pt idx="158">
                  <c:v>#N/A</c:v>
                </c:pt>
                <c:pt idx="159">
                  <c:v>-32.437755261021358</c:v>
                </c:pt>
                <c:pt idx="160">
                  <c:v>#N/A</c:v>
                </c:pt>
                <c:pt idx="161">
                  <c:v>-28.708317577101713</c:v>
                </c:pt>
                <c:pt idx="162">
                  <c:v>#N/A</c:v>
                </c:pt>
                <c:pt idx="163">
                  <c:v>-24.184365079787391</c:v>
                </c:pt>
                <c:pt idx="164">
                  <c:v>#N/A</c:v>
                </c:pt>
                <c:pt idx="165">
                  <c:v>-19.954402258068139</c:v>
                </c:pt>
                <c:pt idx="166">
                  <c:v>#N/A</c:v>
                </c:pt>
                <c:pt idx="167">
                  <c:v>-14.325329222223811</c:v>
                </c:pt>
                <c:pt idx="168">
                  <c:v>-10.947335880559496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39-E24F-9A0A-3B4260C5105E}"/>
            </c:ext>
          </c:extLst>
        </c:ser>
        <c:ser>
          <c:idx val="1"/>
          <c:order val="1"/>
          <c:tx>
            <c:v>width</c:v>
          </c:tx>
          <c:spPr>
            <a:ln w="0">
              <a:solidFill>
                <a:schemeClr val="tx1"/>
              </a:solidFill>
            </a:ln>
          </c:spPr>
          <c:marker>
            <c:symbol val="diamond"/>
            <c:size val="4"/>
          </c:marker>
          <c:xVal>
            <c:numRef>
              <c:f>Hilfstabelle_Geometrie!$A$2:$A$170</c:f>
              <c:numCache>
                <c:formatCode>General</c:formatCode>
                <c:ptCount val="169"/>
                <c:pt idx="0">
                  <c:v>2.4042209615320855</c:v>
                </c:pt>
                <c:pt idx="1">
                  <c:v>2.9042021886885934</c:v>
                </c:pt>
                <c:pt idx="2">
                  <c:v>3.4041839046150124</c:v>
                </c:pt>
                <c:pt idx="3">
                  <c:v>4.9041314186259068</c:v>
                </c:pt>
                <c:pt idx="4">
                  <c:v>#N/A</c:v>
                </c:pt>
                <c:pt idx="5">
                  <c:v>5.9020978998622944</c:v>
                </c:pt>
                <c:pt idx="6">
                  <c:v>#N/A</c:v>
                </c:pt>
                <c:pt idx="7">
                  <c:v>8.083889280006618</c:v>
                </c:pt>
                <c:pt idx="8">
                  <c:v>#N/A</c:v>
                </c:pt>
                <c:pt idx="9">
                  <c:v>10.266678759141216</c:v>
                </c:pt>
                <c:pt idx="10">
                  <c:v>#N/A</c:v>
                </c:pt>
                <c:pt idx="11">
                  <c:v>12.448461696569689</c:v>
                </c:pt>
                <c:pt idx="12">
                  <c:v>#N/A</c:v>
                </c:pt>
                <c:pt idx="13">
                  <c:v>14.631233307555275</c:v>
                </c:pt>
                <c:pt idx="14">
                  <c:v>#N/A</c:v>
                </c:pt>
                <c:pt idx="15">
                  <c:v>15.458048723885605</c:v>
                </c:pt>
                <c:pt idx="16">
                  <c:v>#N/A</c:v>
                </c:pt>
                <c:pt idx="17">
                  <c:v>16.260008833789954</c:v>
                </c:pt>
                <c:pt idx="18">
                  <c:v>#N/A</c:v>
                </c:pt>
                <c:pt idx="19">
                  <c:v>17.963015805579317</c:v>
                </c:pt>
                <c:pt idx="20">
                  <c:v>#N/A</c:v>
                </c:pt>
                <c:pt idx="21">
                  <c:v>19.667008588308153</c:v>
                </c:pt>
                <c:pt idx="22">
                  <c:v>#N/A</c:v>
                </c:pt>
                <c:pt idx="23">
                  <c:v>20.49374807424331</c:v>
                </c:pt>
                <c:pt idx="24">
                  <c:v>#N/A</c:v>
                </c:pt>
                <c:pt idx="25">
                  <c:v>21.295687765216861</c:v>
                </c:pt>
                <c:pt idx="26">
                  <c:v>#N/A</c:v>
                </c:pt>
                <c:pt idx="27">
                  <c:v>23.296519024746431</c:v>
                </c:pt>
                <c:pt idx="28">
                  <c:v>#N/A</c:v>
                </c:pt>
                <c:pt idx="29">
                  <c:v>23.998453054291542</c:v>
                </c:pt>
                <c:pt idx="30">
                  <c:v>#N/A</c:v>
                </c:pt>
                <c:pt idx="31">
                  <c:v>25.99924405061148</c:v>
                </c:pt>
                <c:pt idx="32">
                  <c:v>#N/A</c:v>
                </c:pt>
                <c:pt idx="33">
                  <c:v>28.402947523996573</c:v>
                </c:pt>
                <c:pt idx="34">
                  <c:v>#N/A</c:v>
                </c:pt>
                <c:pt idx="35">
                  <c:v>29.901757747344199</c:v>
                </c:pt>
                <c:pt idx="36">
                  <c:v>#N/A</c:v>
                </c:pt>
                <c:pt idx="37">
                  <c:v>31.903539250927178</c:v>
                </c:pt>
                <c:pt idx="38">
                  <c:v>#N/A</c:v>
                </c:pt>
                <c:pt idx="39">
                  <c:v>33.904357414274102</c:v>
                </c:pt>
                <c:pt idx="40">
                  <c:v>#N/A</c:v>
                </c:pt>
                <c:pt idx="41">
                  <c:v>35.906208421483811</c:v>
                </c:pt>
                <c:pt idx="42">
                  <c:v>#N/A</c:v>
                </c:pt>
                <c:pt idx="43">
                  <c:v>37.907088789888284</c:v>
                </c:pt>
                <c:pt idx="44">
                  <c:v>#N/A</c:v>
                </c:pt>
                <c:pt idx="45">
                  <c:v>39.908994765613009</c:v>
                </c:pt>
                <c:pt idx="46">
                  <c:v>#N/A</c:v>
                </c:pt>
                <c:pt idx="47">
                  <c:v>41.909922810948615</c:v>
                </c:pt>
                <c:pt idx="48">
                  <c:v>#N/A</c:v>
                </c:pt>
                <c:pt idx="49">
                  <c:v>43.911869219565325</c:v>
                </c:pt>
                <c:pt idx="50">
                  <c:v>#N/A</c:v>
                </c:pt>
                <c:pt idx="51">
                  <c:v>45.912830413272417</c:v>
                </c:pt>
                <c:pt idx="52">
                  <c:v>#N/A</c:v>
                </c:pt>
                <c:pt idx="53">
                  <c:v>47.914802718802463</c:v>
                </c:pt>
                <c:pt idx="54">
                  <c:v>#N/A</c:v>
                </c:pt>
                <c:pt idx="55">
                  <c:v>49.915782532043764</c:v>
                </c:pt>
                <c:pt idx="56">
                  <c:v>#N/A</c:v>
                </c:pt>
                <c:pt idx="57">
                  <c:v>51.917766198308641</c:v>
                </c:pt>
                <c:pt idx="58">
                  <c:v>#N/A</c:v>
                </c:pt>
                <c:pt idx="59">
                  <c:v>54.402745937467266</c:v>
                </c:pt>
                <c:pt idx="60">
                  <c:v>#N/A</c:v>
                </c:pt>
                <c:pt idx="61">
                  <c:v>56.404727658422701</c:v>
                </c:pt>
                <c:pt idx="62">
                  <c:v>#N/A</c:v>
                </c:pt>
                <c:pt idx="63">
                  <c:v>58.405709388508527</c:v>
                </c:pt>
                <c:pt idx="64">
                  <c:v>#N/A</c:v>
                </c:pt>
                <c:pt idx="65">
                  <c:v>60.407691109463961</c:v>
                </c:pt>
                <c:pt idx="66">
                  <c:v>#N/A</c:v>
                </c:pt>
                <c:pt idx="67">
                  <c:v>62.408672839549787</c:v>
                </c:pt>
                <c:pt idx="68">
                  <c:v>#N/A</c:v>
                </c:pt>
                <c:pt idx="69">
                  <c:v>64.410654560505222</c:v>
                </c:pt>
                <c:pt idx="70">
                  <c:v>#N/A</c:v>
                </c:pt>
                <c:pt idx="71">
                  <c:v>66.411636290591034</c:v>
                </c:pt>
                <c:pt idx="72">
                  <c:v>#N/A</c:v>
                </c:pt>
                <c:pt idx="73">
                  <c:v>68.413618011546461</c:v>
                </c:pt>
                <c:pt idx="74">
                  <c:v>#N/A</c:v>
                </c:pt>
                <c:pt idx="75">
                  <c:v>70.414599741632273</c:v>
                </c:pt>
                <c:pt idx="76">
                  <c:v>#N/A</c:v>
                </c:pt>
                <c:pt idx="77">
                  <c:v>72.4165814625877</c:v>
                </c:pt>
                <c:pt idx="78">
                  <c:v>#N/A</c:v>
                </c:pt>
                <c:pt idx="79">
                  <c:v>74.417563192673512</c:v>
                </c:pt>
                <c:pt idx="80">
                  <c:v>#N/A</c:v>
                </c:pt>
                <c:pt idx="81">
                  <c:v>76.41954491362894</c:v>
                </c:pt>
                <c:pt idx="82">
                  <c:v>#N/A</c:v>
                </c:pt>
                <c:pt idx="83">
                  <c:v>78.420526643714751</c:v>
                </c:pt>
                <c:pt idx="84">
                  <c:v>#N/A</c:v>
                </c:pt>
                <c:pt idx="85">
                  <c:v>80.422508364670179</c:v>
                </c:pt>
                <c:pt idx="86">
                  <c:v>#N/A</c:v>
                </c:pt>
                <c:pt idx="87">
                  <c:v>82.423490094755991</c:v>
                </c:pt>
                <c:pt idx="88">
                  <c:v>#N/A</c:v>
                </c:pt>
                <c:pt idx="89">
                  <c:v>84.425471815711418</c:v>
                </c:pt>
                <c:pt idx="90">
                  <c:v>#N/A</c:v>
                </c:pt>
                <c:pt idx="91">
                  <c:v>86.42645354579723</c:v>
                </c:pt>
                <c:pt idx="92">
                  <c:v>#N/A</c:v>
                </c:pt>
                <c:pt idx="93">
                  <c:v>88.428435266752658</c:v>
                </c:pt>
                <c:pt idx="94">
                  <c:v>#N/A</c:v>
                </c:pt>
                <c:pt idx="95">
                  <c:v>90.429416996838469</c:v>
                </c:pt>
                <c:pt idx="96">
                  <c:v>#N/A</c:v>
                </c:pt>
                <c:pt idx="97">
                  <c:v>92.431398717793897</c:v>
                </c:pt>
                <c:pt idx="98">
                  <c:v>93.495389003056928</c:v>
                </c:pt>
                <c:pt idx="99">
                  <c:v>#N/A</c:v>
                </c:pt>
                <c:pt idx="100">
                  <c:v>94.432380447879723</c:v>
                </c:pt>
                <c:pt idx="101">
                  <c:v>#N/A</c:v>
                </c:pt>
                <c:pt idx="102">
                  <c:v>96.43436216883515</c:v>
                </c:pt>
                <c:pt idx="103">
                  <c:v>#N/A</c:v>
                </c:pt>
                <c:pt idx="104">
                  <c:v>98.435343898920962</c:v>
                </c:pt>
                <c:pt idx="105">
                  <c:v>#N/A</c:v>
                </c:pt>
                <c:pt idx="106">
                  <c:v>100.43732561987639</c:v>
                </c:pt>
                <c:pt idx="107">
                  <c:v>#N/A</c:v>
                </c:pt>
                <c:pt idx="108">
                  <c:v>102.4383073499622</c:v>
                </c:pt>
                <c:pt idx="109">
                  <c:v>104.49528856874608</c:v>
                </c:pt>
                <c:pt idx="110">
                  <c:v>#N/A</c:v>
                </c:pt>
                <c:pt idx="111">
                  <c:v>104.81528564702067</c:v>
                </c:pt>
                <c:pt idx="112">
                  <c:v>#N/A</c:v>
                </c:pt>
                <c:pt idx="113">
                  <c:v>105.71499908696082</c:v>
                </c:pt>
                <c:pt idx="114">
                  <c:v>#N/A</c:v>
                </c:pt>
                <c:pt idx="115">
                  <c:v>106.51699176438652</c:v>
                </c:pt>
                <c:pt idx="116">
                  <c:v>#N/A</c:v>
                </c:pt>
                <c:pt idx="117">
                  <c:v>108.61797258143315</c:v>
                </c:pt>
                <c:pt idx="118">
                  <c:v>#N/A</c:v>
                </c:pt>
                <c:pt idx="119">
                  <c:v>110.7199533893494</c:v>
                </c:pt>
                <c:pt idx="120">
                  <c:v>#N/A</c:v>
                </c:pt>
                <c:pt idx="121">
                  <c:v>112.72093511943521</c:v>
                </c:pt>
                <c:pt idx="122">
                  <c:v>#N/A</c:v>
                </c:pt>
                <c:pt idx="123">
                  <c:v>114.72291684039064</c:v>
                </c:pt>
                <c:pt idx="124">
                  <c:v>#N/A</c:v>
                </c:pt>
                <c:pt idx="125">
                  <c:v>116.72389857047645</c:v>
                </c:pt>
                <c:pt idx="126">
                  <c:v>#N/A</c:v>
                </c:pt>
                <c:pt idx="127">
                  <c:v>118.72588029143188</c:v>
                </c:pt>
                <c:pt idx="128">
                  <c:v>#N/A</c:v>
                </c:pt>
                <c:pt idx="129">
                  <c:v>120.72686202151769</c:v>
                </c:pt>
                <c:pt idx="130">
                  <c:v>#N/A</c:v>
                </c:pt>
                <c:pt idx="131">
                  <c:v>122.72884374247312</c:v>
                </c:pt>
                <c:pt idx="132">
                  <c:v>#N/A</c:v>
                </c:pt>
                <c:pt idx="133">
                  <c:v>124.72982547255893</c:v>
                </c:pt>
                <c:pt idx="134">
                  <c:v>#N/A</c:v>
                </c:pt>
                <c:pt idx="135">
                  <c:v>126.73180719351436</c:v>
                </c:pt>
                <c:pt idx="136">
                  <c:v>#N/A</c:v>
                </c:pt>
                <c:pt idx="137">
                  <c:v>128.7327889236002</c:v>
                </c:pt>
                <c:pt idx="138">
                  <c:v>#N/A</c:v>
                </c:pt>
                <c:pt idx="139">
                  <c:v>130.73477064455562</c:v>
                </c:pt>
                <c:pt idx="140">
                  <c:v>#N/A</c:v>
                </c:pt>
                <c:pt idx="141">
                  <c:v>132.73575237464146</c:v>
                </c:pt>
                <c:pt idx="142">
                  <c:v>#N/A</c:v>
                </c:pt>
                <c:pt idx="143">
                  <c:v>134.73773409559689</c:v>
                </c:pt>
                <c:pt idx="144">
                  <c:v>#N/A</c:v>
                </c:pt>
                <c:pt idx="145">
                  <c:v>136.73871582568273</c:v>
                </c:pt>
                <c:pt idx="146">
                  <c:v>#N/A</c:v>
                </c:pt>
                <c:pt idx="147">
                  <c:v>138.74069754663816</c:v>
                </c:pt>
                <c:pt idx="148">
                  <c:v>#N/A</c:v>
                </c:pt>
                <c:pt idx="149">
                  <c:v>140.741679276724</c:v>
                </c:pt>
                <c:pt idx="150">
                  <c:v>#N/A</c:v>
                </c:pt>
                <c:pt idx="151">
                  <c:v>142.74366099767943</c:v>
                </c:pt>
                <c:pt idx="152">
                  <c:v>#N/A</c:v>
                </c:pt>
                <c:pt idx="153">
                  <c:v>144.74464272776527</c:v>
                </c:pt>
                <c:pt idx="154">
                  <c:v>#N/A</c:v>
                </c:pt>
                <c:pt idx="155">
                  <c:v>146.74662444872069</c:v>
                </c:pt>
                <c:pt idx="156">
                  <c:v>#N/A</c:v>
                </c:pt>
                <c:pt idx="157">
                  <c:v>148.74760617880654</c:v>
                </c:pt>
                <c:pt idx="158">
                  <c:v>#N/A</c:v>
                </c:pt>
                <c:pt idx="159">
                  <c:v>150.74958789976196</c:v>
                </c:pt>
                <c:pt idx="160">
                  <c:v>#N/A</c:v>
                </c:pt>
                <c:pt idx="161">
                  <c:v>152.7505696298478</c:v>
                </c:pt>
                <c:pt idx="162">
                  <c:v>#N/A</c:v>
                </c:pt>
                <c:pt idx="163">
                  <c:v>154.75255135080323</c:v>
                </c:pt>
                <c:pt idx="164">
                  <c:v>#N/A</c:v>
                </c:pt>
                <c:pt idx="165">
                  <c:v>156.25353764608502</c:v>
                </c:pt>
                <c:pt idx="166">
                  <c:v>#N/A</c:v>
                </c:pt>
                <c:pt idx="167">
                  <c:v>157.75452394136681</c:v>
                </c:pt>
                <c:pt idx="168">
                  <c:v>158.5</c:v>
                </c:pt>
              </c:numCache>
            </c:numRef>
          </c:xVal>
          <c:yVal>
            <c:numRef>
              <c:f>Hilfstabelle_Geometrie!$C$2:$C$170</c:f>
              <c:numCache>
                <c:formatCode>General</c:formatCode>
                <c:ptCount val="169"/>
                <c:pt idx="0">
                  <c:v>26.675000000000001</c:v>
                </c:pt>
                <c:pt idx="1">
                  <c:v>30.85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#N/A</c:v>
                </c:pt>
                <c:pt idx="7">
                  <c:v>35</c:v>
                </c:pt>
                <c:pt idx="8">
                  <c:v>#N/A</c:v>
                </c:pt>
                <c:pt idx="9">
                  <c:v>35</c:v>
                </c:pt>
                <c:pt idx="10">
                  <c:v>#N/A</c:v>
                </c:pt>
                <c:pt idx="11">
                  <c:v>35</c:v>
                </c:pt>
                <c:pt idx="12">
                  <c:v>#N/A</c:v>
                </c:pt>
                <c:pt idx="13">
                  <c:v>35</c:v>
                </c:pt>
                <c:pt idx="14">
                  <c:v>#N/A</c:v>
                </c:pt>
                <c:pt idx="15">
                  <c:v>35</c:v>
                </c:pt>
                <c:pt idx="16">
                  <c:v>#N/A</c:v>
                </c:pt>
                <c:pt idx="17">
                  <c:v>35</c:v>
                </c:pt>
                <c:pt idx="18">
                  <c:v>#N/A</c:v>
                </c:pt>
                <c:pt idx="19">
                  <c:v>35</c:v>
                </c:pt>
                <c:pt idx="20">
                  <c:v>#N/A</c:v>
                </c:pt>
                <c:pt idx="21">
                  <c:v>35</c:v>
                </c:pt>
                <c:pt idx="22">
                  <c:v>#N/A</c:v>
                </c:pt>
                <c:pt idx="23">
                  <c:v>35</c:v>
                </c:pt>
                <c:pt idx="24">
                  <c:v>#N/A</c:v>
                </c:pt>
                <c:pt idx="25">
                  <c:v>35</c:v>
                </c:pt>
                <c:pt idx="26">
                  <c:v>#N/A</c:v>
                </c:pt>
                <c:pt idx="27">
                  <c:v>35</c:v>
                </c:pt>
                <c:pt idx="28">
                  <c:v>#N/A</c:v>
                </c:pt>
                <c:pt idx="29">
                  <c:v>35</c:v>
                </c:pt>
                <c:pt idx="30">
                  <c:v>#N/A</c:v>
                </c:pt>
                <c:pt idx="31">
                  <c:v>35</c:v>
                </c:pt>
                <c:pt idx="32">
                  <c:v>#N/A</c:v>
                </c:pt>
                <c:pt idx="33">
                  <c:v>35</c:v>
                </c:pt>
                <c:pt idx="34">
                  <c:v>#N/A</c:v>
                </c:pt>
                <c:pt idx="35">
                  <c:v>35</c:v>
                </c:pt>
                <c:pt idx="36">
                  <c:v>#N/A</c:v>
                </c:pt>
                <c:pt idx="37">
                  <c:v>35</c:v>
                </c:pt>
                <c:pt idx="38">
                  <c:v>#N/A</c:v>
                </c:pt>
                <c:pt idx="39">
                  <c:v>35</c:v>
                </c:pt>
                <c:pt idx="40">
                  <c:v>#N/A</c:v>
                </c:pt>
                <c:pt idx="41">
                  <c:v>35</c:v>
                </c:pt>
                <c:pt idx="42">
                  <c:v>#N/A</c:v>
                </c:pt>
                <c:pt idx="43">
                  <c:v>35</c:v>
                </c:pt>
                <c:pt idx="44">
                  <c:v>#N/A</c:v>
                </c:pt>
                <c:pt idx="45">
                  <c:v>35</c:v>
                </c:pt>
                <c:pt idx="46">
                  <c:v>#N/A</c:v>
                </c:pt>
                <c:pt idx="47">
                  <c:v>35</c:v>
                </c:pt>
                <c:pt idx="48">
                  <c:v>#N/A</c:v>
                </c:pt>
                <c:pt idx="49">
                  <c:v>35</c:v>
                </c:pt>
                <c:pt idx="50">
                  <c:v>#N/A</c:v>
                </c:pt>
                <c:pt idx="51">
                  <c:v>35</c:v>
                </c:pt>
                <c:pt idx="52">
                  <c:v>#N/A</c:v>
                </c:pt>
                <c:pt idx="53">
                  <c:v>35</c:v>
                </c:pt>
                <c:pt idx="54">
                  <c:v>#N/A</c:v>
                </c:pt>
                <c:pt idx="55">
                  <c:v>35</c:v>
                </c:pt>
                <c:pt idx="56">
                  <c:v>#N/A</c:v>
                </c:pt>
                <c:pt idx="57">
                  <c:v>35</c:v>
                </c:pt>
                <c:pt idx="58">
                  <c:v>#N/A</c:v>
                </c:pt>
                <c:pt idx="59">
                  <c:v>35.004129411824472</c:v>
                </c:pt>
                <c:pt idx="60">
                  <c:v>#N/A</c:v>
                </c:pt>
                <c:pt idx="61">
                  <c:v>42.063628160863701</c:v>
                </c:pt>
                <c:pt idx="62">
                  <c:v>#N/A</c:v>
                </c:pt>
                <c:pt idx="63">
                  <c:v>47.407120970756857</c:v>
                </c:pt>
                <c:pt idx="64">
                  <c:v>#N/A</c:v>
                </c:pt>
                <c:pt idx="65">
                  <c:v>51.575438314205819</c:v>
                </c:pt>
                <c:pt idx="66">
                  <c:v>#N/A</c:v>
                </c:pt>
                <c:pt idx="67">
                  <c:v>54.833464154791507</c:v>
                </c:pt>
                <c:pt idx="68">
                  <c:v>#N/A</c:v>
                </c:pt>
                <c:pt idx="69">
                  <c:v>57.339606644727724</c:v>
                </c:pt>
                <c:pt idx="70">
                  <c:v>#N/A</c:v>
                </c:pt>
                <c:pt idx="71">
                  <c:v>57.339606644727724</c:v>
                </c:pt>
                <c:pt idx="72">
                  <c:v>#N/A</c:v>
                </c:pt>
                <c:pt idx="73">
                  <c:v>57.33</c:v>
                </c:pt>
                <c:pt idx="74">
                  <c:v>#N/A</c:v>
                </c:pt>
                <c:pt idx="75">
                  <c:v>57.33</c:v>
                </c:pt>
                <c:pt idx="76">
                  <c:v>#N/A</c:v>
                </c:pt>
                <c:pt idx="77">
                  <c:v>57.33</c:v>
                </c:pt>
                <c:pt idx="78">
                  <c:v>#N/A</c:v>
                </c:pt>
                <c:pt idx="79">
                  <c:v>57.33</c:v>
                </c:pt>
                <c:pt idx="80">
                  <c:v>#N/A</c:v>
                </c:pt>
                <c:pt idx="81">
                  <c:v>57.33</c:v>
                </c:pt>
                <c:pt idx="82">
                  <c:v>#N/A</c:v>
                </c:pt>
                <c:pt idx="83">
                  <c:v>57.33</c:v>
                </c:pt>
                <c:pt idx="84">
                  <c:v>#N/A</c:v>
                </c:pt>
                <c:pt idx="85">
                  <c:v>57.33</c:v>
                </c:pt>
                <c:pt idx="86">
                  <c:v>#N/A</c:v>
                </c:pt>
                <c:pt idx="87">
                  <c:v>57.33</c:v>
                </c:pt>
                <c:pt idx="88">
                  <c:v>#N/A</c:v>
                </c:pt>
                <c:pt idx="89">
                  <c:v>57.33</c:v>
                </c:pt>
                <c:pt idx="90">
                  <c:v>#N/A</c:v>
                </c:pt>
                <c:pt idx="91">
                  <c:v>57.33</c:v>
                </c:pt>
                <c:pt idx="92">
                  <c:v>#N/A</c:v>
                </c:pt>
                <c:pt idx="93">
                  <c:v>57.33</c:v>
                </c:pt>
                <c:pt idx="94">
                  <c:v>#N/A</c:v>
                </c:pt>
                <c:pt idx="95">
                  <c:v>57.33</c:v>
                </c:pt>
                <c:pt idx="96">
                  <c:v>#N/A</c:v>
                </c:pt>
                <c:pt idx="97">
                  <c:v>57.33</c:v>
                </c:pt>
                <c:pt idx="98">
                  <c:v>57.33</c:v>
                </c:pt>
                <c:pt idx="99">
                  <c:v>#N/A</c:v>
                </c:pt>
                <c:pt idx="100">
                  <c:v>57.33</c:v>
                </c:pt>
                <c:pt idx="101">
                  <c:v>#N/A</c:v>
                </c:pt>
                <c:pt idx="102">
                  <c:v>57.33</c:v>
                </c:pt>
                <c:pt idx="103">
                  <c:v>#N/A</c:v>
                </c:pt>
                <c:pt idx="104">
                  <c:v>57.33</c:v>
                </c:pt>
                <c:pt idx="105">
                  <c:v>#N/A</c:v>
                </c:pt>
                <c:pt idx="106">
                  <c:v>57.33</c:v>
                </c:pt>
                <c:pt idx="107">
                  <c:v>#N/A</c:v>
                </c:pt>
                <c:pt idx="108">
                  <c:v>57.33</c:v>
                </c:pt>
                <c:pt idx="109">
                  <c:v>57.33</c:v>
                </c:pt>
                <c:pt idx="110">
                  <c:v>#N/A</c:v>
                </c:pt>
                <c:pt idx="111">
                  <c:v>57.33</c:v>
                </c:pt>
                <c:pt idx="112">
                  <c:v>#N/A</c:v>
                </c:pt>
                <c:pt idx="113">
                  <c:v>57.33</c:v>
                </c:pt>
                <c:pt idx="114">
                  <c:v>#N/A</c:v>
                </c:pt>
                <c:pt idx="115">
                  <c:v>57.33</c:v>
                </c:pt>
                <c:pt idx="116">
                  <c:v>#N/A</c:v>
                </c:pt>
                <c:pt idx="117">
                  <c:v>57.33</c:v>
                </c:pt>
                <c:pt idx="118">
                  <c:v>#N/A</c:v>
                </c:pt>
                <c:pt idx="119">
                  <c:v>57.25</c:v>
                </c:pt>
                <c:pt idx="120">
                  <c:v>#N/A</c:v>
                </c:pt>
                <c:pt idx="121">
                  <c:v>57.201415130459885</c:v>
                </c:pt>
                <c:pt idx="122">
                  <c:v>#N/A</c:v>
                </c:pt>
                <c:pt idx="123">
                  <c:v>57.055314867799474</c:v>
                </c:pt>
                <c:pt idx="124">
                  <c:v>#N/A</c:v>
                </c:pt>
                <c:pt idx="125">
                  <c:v>56.811093647910042</c:v>
                </c:pt>
                <c:pt idx="126">
                  <c:v>#N/A</c:v>
                </c:pt>
                <c:pt idx="127">
                  <c:v>56.467232256016921</c:v>
                </c:pt>
                <c:pt idx="128">
                  <c:v>#N/A</c:v>
                </c:pt>
                <c:pt idx="129">
                  <c:v>56.022243255188236</c:v>
                </c:pt>
                <c:pt idx="130">
                  <c:v>#N/A</c:v>
                </c:pt>
                <c:pt idx="131">
                  <c:v>55.473242126034549</c:v>
                </c:pt>
                <c:pt idx="132">
                  <c:v>#N/A</c:v>
                </c:pt>
                <c:pt idx="133">
                  <c:v>54.817661629650367</c:v>
                </c:pt>
                <c:pt idx="134">
                  <c:v>#N/A</c:v>
                </c:pt>
                <c:pt idx="135">
                  <c:v>54.050955353442461</c:v>
                </c:pt>
                <c:pt idx="136">
                  <c:v>#N/A</c:v>
                </c:pt>
                <c:pt idx="137">
                  <c:v>53.169100265752817</c:v>
                </c:pt>
                <c:pt idx="138">
                  <c:v>#N/A</c:v>
                </c:pt>
                <c:pt idx="139">
                  <c:v>52.165351207420073</c:v>
                </c:pt>
                <c:pt idx="140">
                  <c:v>#N/A</c:v>
                </c:pt>
                <c:pt idx="141">
                  <c:v>51.033551012289848</c:v>
                </c:pt>
                <c:pt idx="142">
                  <c:v>#N/A</c:v>
                </c:pt>
                <c:pt idx="143">
                  <c:v>49.763790730757378</c:v>
                </c:pt>
                <c:pt idx="144">
                  <c:v>#N/A</c:v>
                </c:pt>
                <c:pt idx="145">
                  <c:v>48.346523598970187</c:v>
                </c:pt>
                <c:pt idx="146">
                  <c:v>#N/A</c:v>
                </c:pt>
                <c:pt idx="147">
                  <c:v>46.766855555224396</c:v>
                </c:pt>
                <c:pt idx="148">
                  <c:v>#N/A</c:v>
                </c:pt>
                <c:pt idx="149">
                  <c:v>45.009357567233174</c:v>
                </c:pt>
                <c:pt idx="150">
                  <c:v>#N/A</c:v>
                </c:pt>
                <c:pt idx="151">
                  <c:v>43.050384417323272</c:v>
                </c:pt>
                <c:pt idx="152">
                  <c:v>#N/A</c:v>
                </c:pt>
                <c:pt idx="153">
                  <c:v>40.863077496094171</c:v>
                </c:pt>
                <c:pt idx="154">
                  <c:v>#N/A</c:v>
                </c:pt>
                <c:pt idx="155">
                  <c:v>38.406058477314168</c:v>
                </c:pt>
                <c:pt idx="156">
                  <c:v>#N/A</c:v>
                </c:pt>
                <c:pt idx="157">
                  <c:v>35.626294300923632</c:v>
                </c:pt>
                <c:pt idx="158">
                  <c:v>#N/A</c:v>
                </c:pt>
                <c:pt idx="159">
                  <c:v>32.437755261021358</c:v>
                </c:pt>
                <c:pt idx="160">
                  <c:v>#N/A</c:v>
                </c:pt>
                <c:pt idx="161">
                  <c:v>28.708317577101713</c:v>
                </c:pt>
                <c:pt idx="162">
                  <c:v>#N/A</c:v>
                </c:pt>
                <c:pt idx="163">
                  <c:v>24.184365079787391</c:v>
                </c:pt>
                <c:pt idx="164">
                  <c:v>#N/A</c:v>
                </c:pt>
                <c:pt idx="165">
                  <c:v>19.954402258068139</c:v>
                </c:pt>
                <c:pt idx="166">
                  <c:v>#N/A</c:v>
                </c:pt>
                <c:pt idx="167">
                  <c:v>14.325329222223811</c:v>
                </c:pt>
                <c:pt idx="168">
                  <c:v>10.947335880559496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39-E24F-9A0A-3B4260C5105E}"/>
            </c:ext>
          </c:extLst>
        </c:ser>
        <c:ser>
          <c:idx val="2"/>
          <c:order val="2"/>
          <c:tx>
            <c:v>height</c:v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</c:spPr>
          </c:marker>
          <c:xVal>
            <c:numRef>
              <c:f>Hilfstabelle_Geometrie!$A$2:$A$170</c:f>
              <c:numCache>
                <c:formatCode>General</c:formatCode>
                <c:ptCount val="169"/>
                <c:pt idx="0">
                  <c:v>2.4042209615320855</c:v>
                </c:pt>
                <c:pt idx="1">
                  <c:v>2.9042021886885934</c:v>
                </c:pt>
                <c:pt idx="2">
                  <c:v>3.4041839046150124</c:v>
                </c:pt>
                <c:pt idx="3">
                  <c:v>4.9041314186259068</c:v>
                </c:pt>
                <c:pt idx="4">
                  <c:v>#N/A</c:v>
                </c:pt>
                <c:pt idx="5">
                  <c:v>5.9020978998622944</c:v>
                </c:pt>
                <c:pt idx="6">
                  <c:v>#N/A</c:v>
                </c:pt>
                <c:pt idx="7">
                  <c:v>8.083889280006618</c:v>
                </c:pt>
                <c:pt idx="8">
                  <c:v>#N/A</c:v>
                </c:pt>
                <c:pt idx="9">
                  <c:v>10.266678759141216</c:v>
                </c:pt>
                <c:pt idx="10">
                  <c:v>#N/A</c:v>
                </c:pt>
                <c:pt idx="11">
                  <c:v>12.448461696569689</c:v>
                </c:pt>
                <c:pt idx="12">
                  <c:v>#N/A</c:v>
                </c:pt>
                <c:pt idx="13">
                  <c:v>14.631233307555275</c:v>
                </c:pt>
                <c:pt idx="14">
                  <c:v>#N/A</c:v>
                </c:pt>
                <c:pt idx="15">
                  <c:v>15.458048723885605</c:v>
                </c:pt>
                <c:pt idx="16">
                  <c:v>#N/A</c:v>
                </c:pt>
                <c:pt idx="17">
                  <c:v>16.260008833789954</c:v>
                </c:pt>
                <c:pt idx="18">
                  <c:v>#N/A</c:v>
                </c:pt>
                <c:pt idx="19">
                  <c:v>17.963015805579317</c:v>
                </c:pt>
                <c:pt idx="20">
                  <c:v>#N/A</c:v>
                </c:pt>
                <c:pt idx="21">
                  <c:v>19.667008588308153</c:v>
                </c:pt>
                <c:pt idx="22">
                  <c:v>#N/A</c:v>
                </c:pt>
                <c:pt idx="23">
                  <c:v>20.49374807424331</c:v>
                </c:pt>
                <c:pt idx="24">
                  <c:v>#N/A</c:v>
                </c:pt>
                <c:pt idx="25">
                  <c:v>21.295687765216861</c:v>
                </c:pt>
                <c:pt idx="26">
                  <c:v>#N/A</c:v>
                </c:pt>
                <c:pt idx="27">
                  <c:v>23.296519024746431</c:v>
                </c:pt>
                <c:pt idx="28">
                  <c:v>#N/A</c:v>
                </c:pt>
                <c:pt idx="29">
                  <c:v>23.998453054291542</c:v>
                </c:pt>
                <c:pt idx="30">
                  <c:v>#N/A</c:v>
                </c:pt>
                <c:pt idx="31">
                  <c:v>25.99924405061148</c:v>
                </c:pt>
                <c:pt idx="32">
                  <c:v>#N/A</c:v>
                </c:pt>
                <c:pt idx="33">
                  <c:v>28.402947523996573</c:v>
                </c:pt>
                <c:pt idx="34">
                  <c:v>#N/A</c:v>
                </c:pt>
                <c:pt idx="35">
                  <c:v>29.901757747344199</c:v>
                </c:pt>
                <c:pt idx="36">
                  <c:v>#N/A</c:v>
                </c:pt>
                <c:pt idx="37">
                  <c:v>31.903539250927178</c:v>
                </c:pt>
                <c:pt idx="38">
                  <c:v>#N/A</c:v>
                </c:pt>
                <c:pt idx="39">
                  <c:v>33.904357414274102</c:v>
                </c:pt>
                <c:pt idx="40">
                  <c:v>#N/A</c:v>
                </c:pt>
                <c:pt idx="41">
                  <c:v>35.906208421483811</c:v>
                </c:pt>
                <c:pt idx="42">
                  <c:v>#N/A</c:v>
                </c:pt>
                <c:pt idx="43">
                  <c:v>37.907088789888284</c:v>
                </c:pt>
                <c:pt idx="44">
                  <c:v>#N/A</c:v>
                </c:pt>
                <c:pt idx="45">
                  <c:v>39.908994765613009</c:v>
                </c:pt>
                <c:pt idx="46">
                  <c:v>#N/A</c:v>
                </c:pt>
                <c:pt idx="47">
                  <c:v>41.909922810948615</c:v>
                </c:pt>
                <c:pt idx="48">
                  <c:v>#N/A</c:v>
                </c:pt>
                <c:pt idx="49">
                  <c:v>43.911869219565325</c:v>
                </c:pt>
                <c:pt idx="50">
                  <c:v>#N/A</c:v>
                </c:pt>
                <c:pt idx="51">
                  <c:v>45.912830413272417</c:v>
                </c:pt>
                <c:pt idx="52">
                  <c:v>#N/A</c:v>
                </c:pt>
                <c:pt idx="53">
                  <c:v>47.914802718802463</c:v>
                </c:pt>
                <c:pt idx="54">
                  <c:v>#N/A</c:v>
                </c:pt>
                <c:pt idx="55">
                  <c:v>49.915782532043764</c:v>
                </c:pt>
                <c:pt idx="56">
                  <c:v>#N/A</c:v>
                </c:pt>
                <c:pt idx="57">
                  <c:v>51.917766198308641</c:v>
                </c:pt>
                <c:pt idx="58">
                  <c:v>#N/A</c:v>
                </c:pt>
                <c:pt idx="59">
                  <c:v>54.402745937467266</c:v>
                </c:pt>
                <c:pt idx="60">
                  <c:v>#N/A</c:v>
                </c:pt>
                <c:pt idx="61">
                  <c:v>56.404727658422701</c:v>
                </c:pt>
                <c:pt idx="62">
                  <c:v>#N/A</c:v>
                </c:pt>
                <c:pt idx="63">
                  <c:v>58.405709388508527</c:v>
                </c:pt>
                <c:pt idx="64">
                  <c:v>#N/A</c:v>
                </c:pt>
                <c:pt idx="65">
                  <c:v>60.407691109463961</c:v>
                </c:pt>
                <c:pt idx="66">
                  <c:v>#N/A</c:v>
                </c:pt>
                <c:pt idx="67">
                  <c:v>62.408672839549787</c:v>
                </c:pt>
                <c:pt idx="68">
                  <c:v>#N/A</c:v>
                </c:pt>
                <c:pt idx="69">
                  <c:v>64.410654560505222</c:v>
                </c:pt>
                <c:pt idx="70">
                  <c:v>#N/A</c:v>
                </c:pt>
                <c:pt idx="71">
                  <c:v>66.411636290591034</c:v>
                </c:pt>
                <c:pt idx="72">
                  <c:v>#N/A</c:v>
                </c:pt>
                <c:pt idx="73">
                  <c:v>68.413618011546461</c:v>
                </c:pt>
                <c:pt idx="74">
                  <c:v>#N/A</c:v>
                </c:pt>
                <c:pt idx="75">
                  <c:v>70.414599741632273</c:v>
                </c:pt>
                <c:pt idx="76">
                  <c:v>#N/A</c:v>
                </c:pt>
                <c:pt idx="77">
                  <c:v>72.4165814625877</c:v>
                </c:pt>
                <c:pt idx="78">
                  <c:v>#N/A</c:v>
                </c:pt>
                <c:pt idx="79">
                  <c:v>74.417563192673512</c:v>
                </c:pt>
                <c:pt idx="80">
                  <c:v>#N/A</c:v>
                </c:pt>
                <c:pt idx="81">
                  <c:v>76.41954491362894</c:v>
                </c:pt>
                <c:pt idx="82">
                  <c:v>#N/A</c:v>
                </c:pt>
                <c:pt idx="83">
                  <c:v>78.420526643714751</c:v>
                </c:pt>
                <c:pt idx="84">
                  <c:v>#N/A</c:v>
                </c:pt>
                <c:pt idx="85">
                  <c:v>80.422508364670179</c:v>
                </c:pt>
                <c:pt idx="86">
                  <c:v>#N/A</c:v>
                </c:pt>
                <c:pt idx="87">
                  <c:v>82.423490094755991</c:v>
                </c:pt>
                <c:pt idx="88">
                  <c:v>#N/A</c:v>
                </c:pt>
                <c:pt idx="89">
                  <c:v>84.425471815711418</c:v>
                </c:pt>
                <c:pt idx="90">
                  <c:v>#N/A</c:v>
                </c:pt>
                <c:pt idx="91">
                  <c:v>86.42645354579723</c:v>
                </c:pt>
                <c:pt idx="92">
                  <c:v>#N/A</c:v>
                </c:pt>
                <c:pt idx="93">
                  <c:v>88.428435266752658</c:v>
                </c:pt>
                <c:pt idx="94">
                  <c:v>#N/A</c:v>
                </c:pt>
                <c:pt idx="95">
                  <c:v>90.429416996838469</c:v>
                </c:pt>
                <c:pt idx="96">
                  <c:v>#N/A</c:v>
                </c:pt>
                <c:pt idx="97">
                  <c:v>92.431398717793897</c:v>
                </c:pt>
                <c:pt idx="98">
                  <c:v>93.495389003056928</c:v>
                </c:pt>
                <c:pt idx="99">
                  <c:v>#N/A</c:v>
                </c:pt>
                <c:pt idx="100">
                  <c:v>94.432380447879723</c:v>
                </c:pt>
                <c:pt idx="101">
                  <c:v>#N/A</c:v>
                </c:pt>
                <c:pt idx="102">
                  <c:v>96.43436216883515</c:v>
                </c:pt>
                <c:pt idx="103">
                  <c:v>#N/A</c:v>
                </c:pt>
                <c:pt idx="104">
                  <c:v>98.435343898920962</c:v>
                </c:pt>
                <c:pt idx="105">
                  <c:v>#N/A</c:v>
                </c:pt>
                <c:pt idx="106">
                  <c:v>100.43732561987639</c:v>
                </c:pt>
                <c:pt idx="107">
                  <c:v>#N/A</c:v>
                </c:pt>
                <c:pt idx="108">
                  <c:v>102.4383073499622</c:v>
                </c:pt>
                <c:pt idx="109">
                  <c:v>104.49528856874608</c:v>
                </c:pt>
                <c:pt idx="110">
                  <c:v>#N/A</c:v>
                </c:pt>
                <c:pt idx="111">
                  <c:v>104.81528564702067</c:v>
                </c:pt>
                <c:pt idx="112">
                  <c:v>#N/A</c:v>
                </c:pt>
                <c:pt idx="113">
                  <c:v>105.71499908696082</c:v>
                </c:pt>
                <c:pt idx="114">
                  <c:v>#N/A</c:v>
                </c:pt>
                <c:pt idx="115">
                  <c:v>106.51699176438652</c:v>
                </c:pt>
                <c:pt idx="116">
                  <c:v>#N/A</c:v>
                </c:pt>
                <c:pt idx="117">
                  <c:v>108.61797258143315</c:v>
                </c:pt>
                <c:pt idx="118">
                  <c:v>#N/A</c:v>
                </c:pt>
                <c:pt idx="119">
                  <c:v>110.7199533893494</c:v>
                </c:pt>
                <c:pt idx="120">
                  <c:v>#N/A</c:v>
                </c:pt>
                <c:pt idx="121">
                  <c:v>112.72093511943521</c:v>
                </c:pt>
                <c:pt idx="122">
                  <c:v>#N/A</c:v>
                </c:pt>
                <c:pt idx="123">
                  <c:v>114.72291684039064</c:v>
                </c:pt>
                <c:pt idx="124">
                  <c:v>#N/A</c:v>
                </c:pt>
                <c:pt idx="125">
                  <c:v>116.72389857047645</c:v>
                </c:pt>
                <c:pt idx="126">
                  <c:v>#N/A</c:v>
                </c:pt>
                <c:pt idx="127">
                  <c:v>118.72588029143188</c:v>
                </c:pt>
                <c:pt idx="128">
                  <c:v>#N/A</c:v>
                </c:pt>
                <c:pt idx="129">
                  <c:v>120.72686202151769</c:v>
                </c:pt>
                <c:pt idx="130">
                  <c:v>#N/A</c:v>
                </c:pt>
                <c:pt idx="131">
                  <c:v>122.72884374247312</c:v>
                </c:pt>
                <c:pt idx="132">
                  <c:v>#N/A</c:v>
                </c:pt>
                <c:pt idx="133">
                  <c:v>124.72982547255893</c:v>
                </c:pt>
                <c:pt idx="134">
                  <c:v>#N/A</c:v>
                </c:pt>
                <c:pt idx="135">
                  <c:v>126.73180719351436</c:v>
                </c:pt>
                <c:pt idx="136">
                  <c:v>#N/A</c:v>
                </c:pt>
                <c:pt idx="137">
                  <c:v>128.7327889236002</c:v>
                </c:pt>
                <c:pt idx="138">
                  <c:v>#N/A</c:v>
                </c:pt>
                <c:pt idx="139">
                  <c:v>130.73477064455562</c:v>
                </c:pt>
                <c:pt idx="140">
                  <c:v>#N/A</c:v>
                </c:pt>
                <c:pt idx="141">
                  <c:v>132.73575237464146</c:v>
                </c:pt>
                <c:pt idx="142">
                  <c:v>#N/A</c:v>
                </c:pt>
                <c:pt idx="143">
                  <c:v>134.73773409559689</c:v>
                </c:pt>
                <c:pt idx="144">
                  <c:v>#N/A</c:v>
                </c:pt>
                <c:pt idx="145">
                  <c:v>136.73871582568273</c:v>
                </c:pt>
                <c:pt idx="146">
                  <c:v>#N/A</c:v>
                </c:pt>
                <c:pt idx="147">
                  <c:v>138.74069754663816</c:v>
                </c:pt>
                <c:pt idx="148">
                  <c:v>#N/A</c:v>
                </c:pt>
                <c:pt idx="149">
                  <c:v>140.741679276724</c:v>
                </c:pt>
                <c:pt idx="150">
                  <c:v>#N/A</c:v>
                </c:pt>
                <c:pt idx="151">
                  <c:v>142.74366099767943</c:v>
                </c:pt>
                <c:pt idx="152">
                  <c:v>#N/A</c:v>
                </c:pt>
                <c:pt idx="153">
                  <c:v>144.74464272776527</c:v>
                </c:pt>
                <c:pt idx="154">
                  <c:v>#N/A</c:v>
                </c:pt>
                <c:pt idx="155">
                  <c:v>146.74662444872069</c:v>
                </c:pt>
                <c:pt idx="156">
                  <c:v>#N/A</c:v>
                </c:pt>
                <c:pt idx="157">
                  <c:v>148.74760617880654</c:v>
                </c:pt>
                <c:pt idx="158">
                  <c:v>#N/A</c:v>
                </c:pt>
                <c:pt idx="159">
                  <c:v>150.74958789976196</c:v>
                </c:pt>
                <c:pt idx="160">
                  <c:v>#N/A</c:v>
                </c:pt>
                <c:pt idx="161">
                  <c:v>152.7505696298478</c:v>
                </c:pt>
                <c:pt idx="162">
                  <c:v>#N/A</c:v>
                </c:pt>
                <c:pt idx="163">
                  <c:v>154.75255135080323</c:v>
                </c:pt>
                <c:pt idx="164">
                  <c:v>#N/A</c:v>
                </c:pt>
                <c:pt idx="165">
                  <c:v>156.25353764608502</c:v>
                </c:pt>
                <c:pt idx="166">
                  <c:v>#N/A</c:v>
                </c:pt>
                <c:pt idx="167">
                  <c:v>157.75452394136681</c:v>
                </c:pt>
                <c:pt idx="168">
                  <c:v>158.5</c:v>
                </c:pt>
              </c:numCache>
            </c:numRef>
          </c:xVal>
          <c:yVal>
            <c:numRef>
              <c:f>Hilfstabelle_Geometrie!$D$2:$D$170</c:f>
              <c:numCache>
                <c:formatCode>General</c:formatCode>
                <c:ptCount val="169"/>
                <c:pt idx="0">
                  <c:v>-23.5</c:v>
                </c:pt>
                <c:pt idx="1">
                  <c:v>-25.5</c:v>
                </c:pt>
                <c:pt idx="2">
                  <c:v>-27.5</c:v>
                </c:pt>
                <c:pt idx="3">
                  <c:v>-27.5</c:v>
                </c:pt>
                <c:pt idx="4">
                  <c:v>-27.5</c:v>
                </c:pt>
                <c:pt idx="5">
                  <c:v>-27.5</c:v>
                </c:pt>
                <c:pt idx="6">
                  <c:v>#N/A</c:v>
                </c:pt>
                <c:pt idx="7">
                  <c:v>-27.5</c:v>
                </c:pt>
                <c:pt idx="8">
                  <c:v>#N/A</c:v>
                </c:pt>
                <c:pt idx="9">
                  <c:v>-27.5</c:v>
                </c:pt>
                <c:pt idx="10">
                  <c:v>#N/A</c:v>
                </c:pt>
                <c:pt idx="11">
                  <c:v>-27.5</c:v>
                </c:pt>
                <c:pt idx="12">
                  <c:v>#N/A</c:v>
                </c:pt>
                <c:pt idx="13">
                  <c:v>-27.5</c:v>
                </c:pt>
                <c:pt idx="14">
                  <c:v>#N/A</c:v>
                </c:pt>
                <c:pt idx="15">
                  <c:v>-27.5</c:v>
                </c:pt>
                <c:pt idx="16">
                  <c:v>#N/A</c:v>
                </c:pt>
                <c:pt idx="17">
                  <c:v>-27.5</c:v>
                </c:pt>
                <c:pt idx="18">
                  <c:v>#N/A</c:v>
                </c:pt>
                <c:pt idx="19">
                  <c:v>-27.5</c:v>
                </c:pt>
                <c:pt idx="20">
                  <c:v>#N/A</c:v>
                </c:pt>
                <c:pt idx="21">
                  <c:v>-27.5</c:v>
                </c:pt>
                <c:pt idx="22">
                  <c:v>#N/A</c:v>
                </c:pt>
                <c:pt idx="23">
                  <c:v>-27.5</c:v>
                </c:pt>
                <c:pt idx="24">
                  <c:v>#N/A</c:v>
                </c:pt>
                <c:pt idx="25">
                  <c:v>-27.5</c:v>
                </c:pt>
                <c:pt idx="26">
                  <c:v>#N/A</c:v>
                </c:pt>
                <c:pt idx="27">
                  <c:v>-27.5</c:v>
                </c:pt>
                <c:pt idx="28">
                  <c:v>#N/A</c:v>
                </c:pt>
                <c:pt idx="29">
                  <c:v>-27.5</c:v>
                </c:pt>
                <c:pt idx="30">
                  <c:v>#N/A</c:v>
                </c:pt>
                <c:pt idx="31">
                  <c:v>-27.5</c:v>
                </c:pt>
                <c:pt idx="32">
                  <c:v>#N/A</c:v>
                </c:pt>
                <c:pt idx="33">
                  <c:v>-27.5</c:v>
                </c:pt>
                <c:pt idx="34">
                  <c:v>#N/A</c:v>
                </c:pt>
                <c:pt idx="35">
                  <c:v>-27.5</c:v>
                </c:pt>
                <c:pt idx="36">
                  <c:v>#N/A</c:v>
                </c:pt>
                <c:pt idx="37">
                  <c:v>-27.5</c:v>
                </c:pt>
                <c:pt idx="38">
                  <c:v>#N/A</c:v>
                </c:pt>
                <c:pt idx="39">
                  <c:v>-27.5</c:v>
                </c:pt>
                <c:pt idx="40">
                  <c:v>#N/A</c:v>
                </c:pt>
                <c:pt idx="41">
                  <c:v>-27.5</c:v>
                </c:pt>
                <c:pt idx="42">
                  <c:v>#N/A</c:v>
                </c:pt>
                <c:pt idx="43">
                  <c:v>-27.5</c:v>
                </c:pt>
                <c:pt idx="44">
                  <c:v>#N/A</c:v>
                </c:pt>
                <c:pt idx="45">
                  <c:v>-27.5</c:v>
                </c:pt>
                <c:pt idx="46">
                  <c:v>#N/A</c:v>
                </c:pt>
                <c:pt idx="47">
                  <c:v>-27.5</c:v>
                </c:pt>
                <c:pt idx="48">
                  <c:v>#N/A</c:v>
                </c:pt>
                <c:pt idx="49">
                  <c:v>-27.5</c:v>
                </c:pt>
                <c:pt idx="50">
                  <c:v>#N/A</c:v>
                </c:pt>
                <c:pt idx="51">
                  <c:v>-27.5</c:v>
                </c:pt>
                <c:pt idx="52">
                  <c:v>#N/A</c:v>
                </c:pt>
                <c:pt idx="53">
                  <c:v>-27.5</c:v>
                </c:pt>
                <c:pt idx="54">
                  <c:v>#N/A</c:v>
                </c:pt>
                <c:pt idx="55">
                  <c:v>-27.5</c:v>
                </c:pt>
                <c:pt idx="56">
                  <c:v>#N/A</c:v>
                </c:pt>
                <c:pt idx="57">
                  <c:v>-27.5</c:v>
                </c:pt>
                <c:pt idx="58">
                  <c:v>#N/A</c:v>
                </c:pt>
                <c:pt idx="59">
                  <c:v>-27.505318910193292</c:v>
                </c:pt>
                <c:pt idx="60">
                  <c:v>#N/A</c:v>
                </c:pt>
                <c:pt idx="61">
                  <c:v>-34.194163135775668</c:v>
                </c:pt>
                <c:pt idx="62">
                  <c:v>#N/A</c:v>
                </c:pt>
                <c:pt idx="63">
                  <c:v>-39.441355119065733</c:v>
                </c:pt>
                <c:pt idx="64">
                  <c:v>#N/A</c:v>
                </c:pt>
                <c:pt idx="65">
                  <c:v>-43.772912379413881</c:v>
                </c:pt>
                <c:pt idx="66">
                  <c:v>#N/A</c:v>
                </c:pt>
                <c:pt idx="67">
                  <c:v>-47.436513351231298</c:v>
                </c:pt>
                <c:pt idx="68">
                  <c:v>#N/A</c:v>
                </c:pt>
                <c:pt idx="69">
                  <c:v>-50.580819524916045</c:v>
                </c:pt>
                <c:pt idx="70">
                  <c:v>#N/A</c:v>
                </c:pt>
                <c:pt idx="71">
                  <c:v>-53.294929254398262</c:v>
                </c:pt>
                <c:pt idx="72">
                  <c:v>#N/A</c:v>
                </c:pt>
                <c:pt idx="73">
                  <c:v>-55.642182554200218</c:v>
                </c:pt>
                <c:pt idx="74">
                  <c:v>#N/A</c:v>
                </c:pt>
                <c:pt idx="75">
                  <c:v>-55.642182554200218</c:v>
                </c:pt>
                <c:pt idx="76">
                  <c:v>#N/A</c:v>
                </c:pt>
                <c:pt idx="77">
                  <c:v>-55.642182554200218</c:v>
                </c:pt>
                <c:pt idx="78">
                  <c:v>#N/A</c:v>
                </c:pt>
                <c:pt idx="79">
                  <c:v>-55.642182554200218</c:v>
                </c:pt>
                <c:pt idx="80">
                  <c:v>#N/A</c:v>
                </c:pt>
                <c:pt idx="81">
                  <c:v>-55.642182554200218</c:v>
                </c:pt>
                <c:pt idx="82">
                  <c:v>#N/A</c:v>
                </c:pt>
                <c:pt idx="83">
                  <c:v>-55.642182554200218</c:v>
                </c:pt>
                <c:pt idx="84">
                  <c:v>#N/A</c:v>
                </c:pt>
                <c:pt idx="85">
                  <c:v>-55.642182554200218</c:v>
                </c:pt>
                <c:pt idx="86">
                  <c:v>#N/A</c:v>
                </c:pt>
                <c:pt idx="87">
                  <c:v>-55.642182554200218</c:v>
                </c:pt>
                <c:pt idx="88">
                  <c:v>#N/A</c:v>
                </c:pt>
                <c:pt idx="89">
                  <c:v>-55.642182554200218</c:v>
                </c:pt>
                <c:pt idx="90">
                  <c:v>#N/A</c:v>
                </c:pt>
                <c:pt idx="91">
                  <c:v>-55.642182554200218</c:v>
                </c:pt>
                <c:pt idx="92">
                  <c:v>#N/A</c:v>
                </c:pt>
                <c:pt idx="93">
                  <c:v>-55.642182554200218</c:v>
                </c:pt>
                <c:pt idx="94">
                  <c:v>#N/A</c:v>
                </c:pt>
                <c:pt idx="95">
                  <c:v>-55.642182554200218</c:v>
                </c:pt>
                <c:pt idx="96">
                  <c:v>#N/A</c:v>
                </c:pt>
                <c:pt idx="97">
                  <c:v>-55.642182554200218</c:v>
                </c:pt>
                <c:pt idx="98">
                  <c:v>-55.63905080966066</c:v>
                </c:pt>
                <c:pt idx="99">
                  <c:v>#N/A</c:v>
                </c:pt>
                <c:pt idx="100">
                  <c:v>-54.581467624293744</c:v>
                </c:pt>
                <c:pt idx="101">
                  <c:v>#N/A</c:v>
                </c:pt>
                <c:pt idx="102">
                  <c:v>-52.066272927651568</c:v>
                </c:pt>
                <c:pt idx="103">
                  <c:v>#N/A</c:v>
                </c:pt>
                <c:pt idx="104">
                  <c:v>-49.159724886314393</c:v>
                </c:pt>
                <c:pt idx="105">
                  <c:v>#N/A</c:v>
                </c:pt>
                <c:pt idx="106">
                  <c:v>-45.784144196391686</c:v>
                </c:pt>
                <c:pt idx="107">
                  <c:v>#N/A</c:v>
                </c:pt>
                <c:pt idx="108">
                  <c:v>-41.829951874116361</c:v>
                </c:pt>
                <c:pt idx="109">
                  <c:v>-36.96477179263416</c:v>
                </c:pt>
                <c:pt idx="110">
                  <c:v>#N/A</c:v>
                </c:pt>
                <c:pt idx="111">
                  <c:v>-36.945</c:v>
                </c:pt>
                <c:pt idx="112">
                  <c:v>#N/A</c:v>
                </c:pt>
                <c:pt idx="113">
                  <c:v>-36.945</c:v>
                </c:pt>
                <c:pt idx="114">
                  <c:v>#N/A</c:v>
                </c:pt>
                <c:pt idx="115">
                  <c:v>-36.945</c:v>
                </c:pt>
                <c:pt idx="116">
                  <c:v>#N/A</c:v>
                </c:pt>
                <c:pt idx="117">
                  <c:v>-36.945</c:v>
                </c:pt>
                <c:pt idx="118">
                  <c:v>#N/A</c:v>
                </c:pt>
                <c:pt idx="119">
                  <c:v>-36.945</c:v>
                </c:pt>
                <c:pt idx="120">
                  <c:v>#N/A</c:v>
                </c:pt>
                <c:pt idx="121">
                  <c:v>-36.945</c:v>
                </c:pt>
                <c:pt idx="122">
                  <c:v>#N/A</c:v>
                </c:pt>
                <c:pt idx="123">
                  <c:v>-36.945</c:v>
                </c:pt>
                <c:pt idx="124">
                  <c:v>#N/A</c:v>
                </c:pt>
                <c:pt idx="125">
                  <c:v>-36.945</c:v>
                </c:pt>
                <c:pt idx="126">
                  <c:v>#N/A</c:v>
                </c:pt>
                <c:pt idx="127">
                  <c:v>-36.945</c:v>
                </c:pt>
                <c:pt idx="128">
                  <c:v>#N/A</c:v>
                </c:pt>
                <c:pt idx="129">
                  <c:v>-36.945</c:v>
                </c:pt>
                <c:pt idx="130">
                  <c:v>#N/A</c:v>
                </c:pt>
                <c:pt idx="131">
                  <c:v>-36.945</c:v>
                </c:pt>
                <c:pt idx="132">
                  <c:v>#N/A</c:v>
                </c:pt>
                <c:pt idx="133">
                  <c:v>-36.945</c:v>
                </c:pt>
                <c:pt idx="134">
                  <c:v>#N/A</c:v>
                </c:pt>
                <c:pt idx="135">
                  <c:v>-36.908257456254603</c:v>
                </c:pt>
                <c:pt idx="136">
                  <c:v>#N/A</c:v>
                </c:pt>
                <c:pt idx="137">
                  <c:v>-36.797883360908884</c:v>
                </c:pt>
                <c:pt idx="138">
                  <c:v>#N/A</c:v>
                </c:pt>
                <c:pt idx="139">
                  <c:v>-36.613100769732966</c:v>
                </c:pt>
                <c:pt idx="140">
                  <c:v>#N/A</c:v>
                </c:pt>
                <c:pt idx="141">
                  <c:v>-36.352961425064393</c:v>
                </c:pt>
                <c:pt idx="142">
                  <c:v>#N/A</c:v>
                </c:pt>
                <c:pt idx="143">
                  <c:v>-36.015569094187278</c:v>
                </c:pt>
                <c:pt idx="144">
                  <c:v>#N/A</c:v>
                </c:pt>
                <c:pt idx="145">
                  <c:v>-35.599069911831883</c:v>
                </c:pt>
                <c:pt idx="146">
                  <c:v>#N/A</c:v>
                </c:pt>
                <c:pt idx="147">
                  <c:v>-35.100223305099426</c:v>
                </c:pt>
                <c:pt idx="148">
                  <c:v>#N/A</c:v>
                </c:pt>
                <c:pt idx="149">
                  <c:v>-34.515969383589372</c:v>
                </c:pt>
                <c:pt idx="150">
                  <c:v>#N/A</c:v>
                </c:pt>
                <c:pt idx="151">
                  <c:v>-33.841284323199396</c:v>
                </c:pt>
                <c:pt idx="152">
                  <c:v>#N/A</c:v>
                </c:pt>
                <c:pt idx="153">
                  <c:v>-33.071330424952265</c:v>
                </c:pt>
                <c:pt idx="154">
                  <c:v>#N/A</c:v>
                </c:pt>
                <c:pt idx="155">
                  <c:v>-32.198474543144251</c:v>
                </c:pt>
                <c:pt idx="156">
                  <c:v>#N/A</c:v>
                </c:pt>
                <c:pt idx="157">
                  <c:v>-31.214997026268918</c:v>
                </c:pt>
                <c:pt idx="158">
                  <c:v>#N/A</c:v>
                </c:pt>
                <c:pt idx="159">
                  <c:v>-30.10902507311561</c:v>
                </c:pt>
                <c:pt idx="160">
                  <c:v>#N/A</c:v>
                </c:pt>
                <c:pt idx="161">
                  <c:v>-28.867656162385117</c:v>
                </c:pt>
                <c:pt idx="162">
                  <c:v>#N/A</c:v>
                </c:pt>
                <c:pt idx="163">
                  <c:v>-27.471210539173754</c:v>
                </c:pt>
                <c:pt idx="164">
                  <c:v>#N/A</c:v>
                </c:pt>
                <c:pt idx="165">
                  <c:v>-26.308203771066466</c:v>
                </c:pt>
                <c:pt idx="166">
                  <c:v>#N/A</c:v>
                </c:pt>
                <c:pt idx="167">
                  <c:v>-25.030482306926825</c:v>
                </c:pt>
                <c:pt idx="168">
                  <c:v>-24.438040349682659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39-E24F-9A0A-3B4260C5105E}"/>
            </c:ext>
          </c:extLst>
        </c:ser>
        <c:ser>
          <c:idx val="3"/>
          <c:order val="3"/>
          <c:tx>
            <c:v>height</c:v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</c:spPr>
          </c:marker>
          <c:xVal>
            <c:numRef>
              <c:f>Hilfstabelle_Geometrie!$A$2:$A$170</c:f>
              <c:numCache>
                <c:formatCode>General</c:formatCode>
                <c:ptCount val="169"/>
                <c:pt idx="0">
                  <c:v>2.4042209615320855</c:v>
                </c:pt>
                <c:pt idx="1">
                  <c:v>2.9042021886885934</c:v>
                </c:pt>
                <c:pt idx="2">
                  <c:v>3.4041839046150124</c:v>
                </c:pt>
                <c:pt idx="3">
                  <c:v>4.9041314186259068</c:v>
                </c:pt>
                <c:pt idx="4">
                  <c:v>#N/A</c:v>
                </c:pt>
                <c:pt idx="5">
                  <c:v>5.9020978998622944</c:v>
                </c:pt>
                <c:pt idx="6">
                  <c:v>#N/A</c:v>
                </c:pt>
                <c:pt idx="7">
                  <c:v>8.083889280006618</c:v>
                </c:pt>
                <c:pt idx="8">
                  <c:v>#N/A</c:v>
                </c:pt>
                <c:pt idx="9">
                  <c:v>10.266678759141216</c:v>
                </c:pt>
                <c:pt idx="10">
                  <c:v>#N/A</c:v>
                </c:pt>
                <c:pt idx="11">
                  <c:v>12.448461696569689</c:v>
                </c:pt>
                <c:pt idx="12">
                  <c:v>#N/A</c:v>
                </c:pt>
                <c:pt idx="13">
                  <c:v>14.631233307555275</c:v>
                </c:pt>
                <c:pt idx="14">
                  <c:v>#N/A</c:v>
                </c:pt>
                <c:pt idx="15">
                  <c:v>15.458048723885605</c:v>
                </c:pt>
                <c:pt idx="16">
                  <c:v>#N/A</c:v>
                </c:pt>
                <c:pt idx="17">
                  <c:v>16.260008833789954</c:v>
                </c:pt>
                <c:pt idx="18">
                  <c:v>#N/A</c:v>
                </c:pt>
                <c:pt idx="19">
                  <c:v>17.963015805579317</c:v>
                </c:pt>
                <c:pt idx="20">
                  <c:v>#N/A</c:v>
                </c:pt>
                <c:pt idx="21">
                  <c:v>19.667008588308153</c:v>
                </c:pt>
                <c:pt idx="22">
                  <c:v>#N/A</c:v>
                </c:pt>
                <c:pt idx="23">
                  <c:v>20.49374807424331</c:v>
                </c:pt>
                <c:pt idx="24">
                  <c:v>#N/A</c:v>
                </c:pt>
                <c:pt idx="25">
                  <c:v>21.295687765216861</c:v>
                </c:pt>
                <c:pt idx="26">
                  <c:v>#N/A</c:v>
                </c:pt>
                <c:pt idx="27">
                  <c:v>23.296519024746431</c:v>
                </c:pt>
                <c:pt idx="28">
                  <c:v>#N/A</c:v>
                </c:pt>
                <c:pt idx="29">
                  <c:v>23.998453054291542</c:v>
                </c:pt>
                <c:pt idx="30">
                  <c:v>#N/A</c:v>
                </c:pt>
                <c:pt idx="31">
                  <c:v>25.99924405061148</c:v>
                </c:pt>
                <c:pt idx="32">
                  <c:v>#N/A</c:v>
                </c:pt>
                <c:pt idx="33">
                  <c:v>28.402947523996573</c:v>
                </c:pt>
                <c:pt idx="34">
                  <c:v>#N/A</c:v>
                </c:pt>
                <c:pt idx="35">
                  <c:v>29.901757747344199</c:v>
                </c:pt>
                <c:pt idx="36">
                  <c:v>#N/A</c:v>
                </c:pt>
                <c:pt idx="37">
                  <c:v>31.903539250927178</c:v>
                </c:pt>
                <c:pt idx="38">
                  <c:v>#N/A</c:v>
                </c:pt>
                <c:pt idx="39">
                  <c:v>33.904357414274102</c:v>
                </c:pt>
                <c:pt idx="40">
                  <c:v>#N/A</c:v>
                </c:pt>
                <c:pt idx="41">
                  <c:v>35.906208421483811</c:v>
                </c:pt>
                <c:pt idx="42">
                  <c:v>#N/A</c:v>
                </c:pt>
                <c:pt idx="43">
                  <c:v>37.907088789888284</c:v>
                </c:pt>
                <c:pt idx="44">
                  <c:v>#N/A</c:v>
                </c:pt>
                <c:pt idx="45">
                  <c:v>39.908994765613009</c:v>
                </c:pt>
                <c:pt idx="46">
                  <c:v>#N/A</c:v>
                </c:pt>
                <c:pt idx="47">
                  <c:v>41.909922810948615</c:v>
                </c:pt>
                <c:pt idx="48">
                  <c:v>#N/A</c:v>
                </c:pt>
                <c:pt idx="49">
                  <c:v>43.911869219565325</c:v>
                </c:pt>
                <c:pt idx="50">
                  <c:v>#N/A</c:v>
                </c:pt>
                <c:pt idx="51">
                  <c:v>45.912830413272417</c:v>
                </c:pt>
                <c:pt idx="52">
                  <c:v>#N/A</c:v>
                </c:pt>
                <c:pt idx="53">
                  <c:v>47.914802718802463</c:v>
                </c:pt>
                <c:pt idx="54">
                  <c:v>#N/A</c:v>
                </c:pt>
                <c:pt idx="55">
                  <c:v>49.915782532043764</c:v>
                </c:pt>
                <c:pt idx="56">
                  <c:v>#N/A</c:v>
                </c:pt>
                <c:pt idx="57">
                  <c:v>51.917766198308641</c:v>
                </c:pt>
                <c:pt idx="58">
                  <c:v>#N/A</c:v>
                </c:pt>
                <c:pt idx="59">
                  <c:v>54.402745937467266</c:v>
                </c:pt>
                <c:pt idx="60">
                  <c:v>#N/A</c:v>
                </c:pt>
                <c:pt idx="61">
                  <c:v>56.404727658422701</c:v>
                </c:pt>
                <c:pt idx="62">
                  <c:v>#N/A</c:v>
                </c:pt>
                <c:pt idx="63">
                  <c:v>58.405709388508527</c:v>
                </c:pt>
                <c:pt idx="64">
                  <c:v>#N/A</c:v>
                </c:pt>
                <c:pt idx="65">
                  <c:v>60.407691109463961</c:v>
                </c:pt>
                <c:pt idx="66">
                  <c:v>#N/A</c:v>
                </c:pt>
                <c:pt idx="67">
                  <c:v>62.408672839549787</c:v>
                </c:pt>
                <c:pt idx="68">
                  <c:v>#N/A</c:v>
                </c:pt>
                <c:pt idx="69">
                  <c:v>64.410654560505222</c:v>
                </c:pt>
                <c:pt idx="70">
                  <c:v>#N/A</c:v>
                </c:pt>
                <c:pt idx="71">
                  <c:v>66.411636290591034</c:v>
                </c:pt>
                <c:pt idx="72">
                  <c:v>#N/A</c:v>
                </c:pt>
                <c:pt idx="73">
                  <c:v>68.413618011546461</c:v>
                </c:pt>
                <c:pt idx="74">
                  <c:v>#N/A</c:v>
                </c:pt>
                <c:pt idx="75">
                  <c:v>70.414599741632273</c:v>
                </c:pt>
                <c:pt idx="76">
                  <c:v>#N/A</c:v>
                </c:pt>
                <c:pt idx="77">
                  <c:v>72.4165814625877</c:v>
                </c:pt>
                <c:pt idx="78">
                  <c:v>#N/A</c:v>
                </c:pt>
                <c:pt idx="79">
                  <c:v>74.417563192673512</c:v>
                </c:pt>
                <c:pt idx="80">
                  <c:v>#N/A</c:v>
                </c:pt>
                <c:pt idx="81">
                  <c:v>76.41954491362894</c:v>
                </c:pt>
                <c:pt idx="82">
                  <c:v>#N/A</c:v>
                </c:pt>
                <c:pt idx="83">
                  <c:v>78.420526643714751</c:v>
                </c:pt>
                <c:pt idx="84">
                  <c:v>#N/A</c:v>
                </c:pt>
                <c:pt idx="85">
                  <c:v>80.422508364670179</c:v>
                </c:pt>
                <c:pt idx="86">
                  <c:v>#N/A</c:v>
                </c:pt>
                <c:pt idx="87">
                  <c:v>82.423490094755991</c:v>
                </c:pt>
                <c:pt idx="88">
                  <c:v>#N/A</c:v>
                </c:pt>
                <c:pt idx="89">
                  <c:v>84.425471815711418</c:v>
                </c:pt>
                <c:pt idx="90">
                  <c:v>#N/A</c:v>
                </c:pt>
                <c:pt idx="91">
                  <c:v>86.42645354579723</c:v>
                </c:pt>
                <c:pt idx="92">
                  <c:v>#N/A</c:v>
                </c:pt>
                <c:pt idx="93">
                  <c:v>88.428435266752658</c:v>
                </c:pt>
                <c:pt idx="94">
                  <c:v>#N/A</c:v>
                </c:pt>
                <c:pt idx="95">
                  <c:v>90.429416996838469</c:v>
                </c:pt>
                <c:pt idx="96">
                  <c:v>#N/A</c:v>
                </c:pt>
                <c:pt idx="97">
                  <c:v>92.431398717793897</c:v>
                </c:pt>
                <c:pt idx="98">
                  <c:v>93.495389003056928</c:v>
                </c:pt>
                <c:pt idx="99">
                  <c:v>#N/A</c:v>
                </c:pt>
                <c:pt idx="100">
                  <c:v>94.432380447879723</c:v>
                </c:pt>
                <c:pt idx="101">
                  <c:v>#N/A</c:v>
                </c:pt>
                <c:pt idx="102">
                  <c:v>96.43436216883515</c:v>
                </c:pt>
                <c:pt idx="103">
                  <c:v>#N/A</c:v>
                </c:pt>
                <c:pt idx="104">
                  <c:v>98.435343898920962</c:v>
                </c:pt>
                <c:pt idx="105">
                  <c:v>#N/A</c:v>
                </c:pt>
                <c:pt idx="106">
                  <c:v>100.43732561987639</c:v>
                </c:pt>
                <c:pt idx="107">
                  <c:v>#N/A</c:v>
                </c:pt>
                <c:pt idx="108">
                  <c:v>102.4383073499622</c:v>
                </c:pt>
                <c:pt idx="109">
                  <c:v>104.49528856874608</c:v>
                </c:pt>
                <c:pt idx="110">
                  <c:v>#N/A</c:v>
                </c:pt>
                <c:pt idx="111">
                  <c:v>104.81528564702067</c:v>
                </c:pt>
                <c:pt idx="112">
                  <c:v>#N/A</c:v>
                </c:pt>
                <c:pt idx="113">
                  <c:v>105.71499908696082</c:v>
                </c:pt>
                <c:pt idx="114">
                  <c:v>#N/A</c:v>
                </c:pt>
                <c:pt idx="115">
                  <c:v>106.51699176438652</c:v>
                </c:pt>
                <c:pt idx="116">
                  <c:v>#N/A</c:v>
                </c:pt>
                <c:pt idx="117">
                  <c:v>108.61797258143315</c:v>
                </c:pt>
                <c:pt idx="118">
                  <c:v>#N/A</c:v>
                </c:pt>
                <c:pt idx="119">
                  <c:v>110.7199533893494</c:v>
                </c:pt>
                <c:pt idx="120">
                  <c:v>#N/A</c:v>
                </c:pt>
                <c:pt idx="121">
                  <c:v>112.72093511943521</c:v>
                </c:pt>
                <c:pt idx="122">
                  <c:v>#N/A</c:v>
                </c:pt>
                <c:pt idx="123">
                  <c:v>114.72291684039064</c:v>
                </c:pt>
                <c:pt idx="124">
                  <c:v>#N/A</c:v>
                </c:pt>
                <c:pt idx="125">
                  <c:v>116.72389857047645</c:v>
                </c:pt>
                <c:pt idx="126">
                  <c:v>#N/A</c:v>
                </c:pt>
                <c:pt idx="127">
                  <c:v>118.72588029143188</c:v>
                </c:pt>
                <c:pt idx="128">
                  <c:v>#N/A</c:v>
                </c:pt>
                <c:pt idx="129">
                  <c:v>120.72686202151769</c:v>
                </c:pt>
                <c:pt idx="130">
                  <c:v>#N/A</c:v>
                </c:pt>
                <c:pt idx="131">
                  <c:v>122.72884374247312</c:v>
                </c:pt>
                <c:pt idx="132">
                  <c:v>#N/A</c:v>
                </c:pt>
                <c:pt idx="133">
                  <c:v>124.72982547255893</c:v>
                </c:pt>
                <c:pt idx="134">
                  <c:v>#N/A</c:v>
                </c:pt>
                <c:pt idx="135">
                  <c:v>126.73180719351436</c:v>
                </c:pt>
                <c:pt idx="136">
                  <c:v>#N/A</c:v>
                </c:pt>
                <c:pt idx="137">
                  <c:v>128.7327889236002</c:v>
                </c:pt>
                <c:pt idx="138">
                  <c:v>#N/A</c:v>
                </c:pt>
                <c:pt idx="139">
                  <c:v>130.73477064455562</c:v>
                </c:pt>
                <c:pt idx="140">
                  <c:v>#N/A</c:v>
                </c:pt>
                <c:pt idx="141">
                  <c:v>132.73575237464146</c:v>
                </c:pt>
                <c:pt idx="142">
                  <c:v>#N/A</c:v>
                </c:pt>
                <c:pt idx="143">
                  <c:v>134.73773409559689</c:v>
                </c:pt>
                <c:pt idx="144">
                  <c:v>#N/A</c:v>
                </c:pt>
                <c:pt idx="145">
                  <c:v>136.73871582568273</c:v>
                </c:pt>
                <c:pt idx="146">
                  <c:v>#N/A</c:v>
                </c:pt>
                <c:pt idx="147">
                  <c:v>138.74069754663816</c:v>
                </c:pt>
                <c:pt idx="148">
                  <c:v>#N/A</c:v>
                </c:pt>
                <c:pt idx="149">
                  <c:v>140.741679276724</c:v>
                </c:pt>
                <c:pt idx="150">
                  <c:v>#N/A</c:v>
                </c:pt>
                <c:pt idx="151">
                  <c:v>142.74366099767943</c:v>
                </c:pt>
                <c:pt idx="152">
                  <c:v>#N/A</c:v>
                </c:pt>
                <c:pt idx="153">
                  <c:v>144.74464272776527</c:v>
                </c:pt>
                <c:pt idx="154">
                  <c:v>#N/A</c:v>
                </c:pt>
                <c:pt idx="155">
                  <c:v>146.74662444872069</c:v>
                </c:pt>
                <c:pt idx="156">
                  <c:v>#N/A</c:v>
                </c:pt>
                <c:pt idx="157">
                  <c:v>148.74760617880654</c:v>
                </c:pt>
                <c:pt idx="158">
                  <c:v>#N/A</c:v>
                </c:pt>
                <c:pt idx="159">
                  <c:v>150.74958789976196</c:v>
                </c:pt>
                <c:pt idx="160">
                  <c:v>#N/A</c:v>
                </c:pt>
                <c:pt idx="161">
                  <c:v>152.7505696298478</c:v>
                </c:pt>
                <c:pt idx="162">
                  <c:v>#N/A</c:v>
                </c:pt>
                <c:pt idx="163">
                  <c:v>154.75255135080323</c:v>
                </c:pt>
                <c:pt idx="164">
                  <c:v>#N/A</c:v>
                </c:pt>
                <c:pt idx="165">
                  <c:v>156.25353764608502</c:v>
                </c:pt>
                <c:pt idx="166">
                  <c:v>#N/A</c:v>
                </c:pt>
                <c:pt idx="167">
                  <c:v>157.75452394136681</c:v>
                </c:pt>
                <c:pt idx="168">
                  <c:v>158.5</c:v>
                </c:pt>
              </c:numCache>
            </c:numRef>
          </c:xVal>
          <c:yVal>
            <c:numRef>
              <c:f>Hilfstabelle_Geometrie!$E$2:$E$170</c:f>
              <c:numCache>
                <c:formatCode>General</c:formatCode>
                <c:ptCount val="169"/>
                <c:pt idx="0">
                  <c:v>23.5</c:v>
                </c:pt>
                <c:pt idx="1">
                  <c:v>25.5</c:v>
                </c:pt>
                <c:pt idx="2">
                  <c:v>27.5</c:v>
                </c:pt>
                <c:pt idx="3">
                  <c:v>27.5</c:v>
                </c:pt>
                <c:pt idx="4">
                  <c:v>27.5</c:v>
                </c:pt>
                <c:pt idx="5">
                  <c:v>27.5</c:v>
                </c:pt>
                <c:pt idx="6">
                  <c:v>#N/A</c:v>
                </c:pt>
                <c:pt idx="7">
                  <c:v>27.5</c:v>
                </c:pt>
                <c:pt idx="8">
                  <c:v>#N/A</c:v>
                </c:pt>
                <c:pt idx="9">
                  <c:v>27.5</c:v>
                </c:pt>
                <c:pt idx="10">
                  <c:v>#N/A</c:v>
                </c:pt>
                <c:pt idx="11">
                  <c:v>27.5</c:v>
                </c:pt>
                <c:pt idx="12">
                  <c:v>#N/A</c:v>
                </c:pt>
                <c:pt idx="13">
                  <c:v>27.5</c:v>
                </c:pt>
                <c:pt idx="14">
                  <c:v>#N/A</c:v>
                </c:pt>
                <c:pt idx="15">
                  <c:v>27.5</c:v>
                </c:pt>
                <c:pt idx="16">
                  <c:v>#N/A</c:v>
                </c:pt>
                <c:pt idx="17">
                  <c:v>27.5</c:v>
                </c:pt>
                <c:pt idx="18">
                  <c:v>#N/A</c:v>
                </c:pt>
                <c:pt idx="19">
                  <c:v>27.5</c:v>
                </c:pt>
                <c:pt idx="20">
                  <c:v>#N/A</c:v>
                </c:pt>
                <c:pt idx="21">
                  <c:v>27.5</c:v>
                </c:pt>
                <c:pt idx="22">
                  <c:v>#N/A</c:v>
                </c:pt>
                <c:pt idx="23">
                  <c:v>27.5</c:v>
                </c:pt>
                <c:pt idx="24">
                  <c:v>#N/A</c:v>
                </c:pt>
                <c:pt idx="25">
                  <c:v>27.5</c:v>
                </c:pt>
                <c:pt idx="26">
                  <c:v>#N/A</c:v>
                </c:pt>
                <c:pt idx="27">
                  <c:v>27.5</c:v>
                </c:pt>
                <c:pt idx="28">
                  <c:v>#N/A</c:v>
                </c:pt>
                <c:pt idx="29">
                  <c:v>27.5</c:v>
                </c:pt>
                <c:pt idx="30">
                  <c:v>#N/A</c:v>
                </c:pt>
                <c:pt idx="31">
                  <c:v>27.5</c:v>
                </c:pt>
                <c:pt idx="32">
                  <c:v>#N/A</c:v>
                </c:pt>
                <c:pt idx="33">
                  <c:v>27.5</c:v>
                </c:pt>
                <c:pt idx="34">
                  <c:v>#N/A</c:v>
                </c:pt>
                <c:pt idx="35">
                  <c:v>27.5</c:v>
                </c:pt>
                <c:pt idx="36">
                  <c:v>#N/A</c:v>
                </c:pt>
                <c:pt idx="37">
                  <c:v>27.5</c:v>
                </c:pt>
                <c:pt idx="38">
                  <c:v>#N/A</c:v>
                </c:pt>
                <c:pt idx="39">
                  <c:v>27.5</c:v>
                </c:pt>
                <c:pt idx="40">
                  <c:v>#N/A</c:v>
                </c:pt>
                <c:pt idx="41">
                  <c:v>27.5</c:v>
                </c:pt>
                <c:pt idx="42">
                  <c:v>#N/A</c:v>
                </c:pt>
                <c:pt idx="43">
                  <c:v>27.5</c:v>
                </c:pt>
                <c:pt idx="44">
                  <c:v>#N/A</c:v>
                </c:pt>
                <c:pt idx="45">
                  <c:v>27.5</c:v>
                </c:pt>
                <c:pt idx="46">
                  <c:v>#N/A</c:v>
                </c:pt>
                <c:pt idx="47">
                  <c:v>27.5</c:v>
                </c:pt>
                <c:pt idx="48">
                  <c:v>#N/A</c:v>
                </c:pt>
                <c:pt idx="49">
                  <c:v>27.5</c:v>
                </c:pt>
                <c:pt idx="50">
                  <c:v>#N/A</c:v>
                </c:pt>
                <c:pt idx="51">
                  <c:v>27.5</c:v>
                </c:pt>
                <c:pt idx="52">
                  <c:v>#N/A</c:v>
                </c:pt>
                <c:pt idx="53">
                  <c:v>27.5</c:v>
                </c:pt>
                <c:pt idx="54">
                  <c:v>#N/A</c:v>
                </c:pt>
                <c:pt idx="55">
                  <c:v>27.5</c:v>
                </c:pt>
                <c:pt idx="56">
                  <c:v>#N/A</c:v>
                </c:pt>
                <c:pt idx="57">
                  <c:v>27.5</c:v>
                </c:pt>
                <c:pt idx="58">
                  <c:v>#N/A</c:v>
                </c:pt>
                <c:pt idx="59">
                  <c:v>27.505318910193292</c:v>
                </c:pt>
                <c:pt idx="60">
                  <c:v>#N/A</c:v>
                </c:pt>
                <c:pt idx="61">
                  <c:v>34.194163135775668</c:v>
                </c:pt>
                <c:pt idx="62">
                  <c:v>#N/A</c:v>
                </c:pt>
                <c:pt idx="63">
                  <c:v>39.441355119065733</c:v>
                </c:pt>
                <c:pt idx="64">
                  <c:v>#N/A</c:v>
                </c:pt>
                <c:pt idx="65">
                  <c:v>43.772912379413881</c:v>
                </c:pt>
                <c:pt idx="66">
                  <c:v>#N/A</c:v>
                </c:pt>
                <c:pt idx="67">
                  <c:v>47.436513351231298</c:v>
                </c:pt>
                <c:pt idx="68">
                  <c:v>#N/A</c:v>
                </c:pt>
                <c:pt idx="69">
                  <c:v>50.580819524916045</c:v>
                </c:pt>
                <c:pt idx="70">
                  <c:v>#N/A</c:v>
                </c:pt>
                <c:pt idx="71">
                  <c:v>53.294929254398262</c:v>
                </c:pt>
                <c:pt idx="72">
                  <c:v>#N/A</c:v>
                </c:pt>
                <c:pt idx="73">
                  <c:v>55.642182554200218</c:v>
                </c:pt>
                <c:pt idx="74">
                  <c:v>#N/A</c:v>
                </c:pt>
                <c:pt idx="75">
                  <c:v>55.642182554200218</c:v>
                </c:pt>
                <c:pt idx="76">
                  <c:v>#N/A</c:v>
                </c:pt>
                <c:pt idx="77">
                  <c:v>55.642182554200218</c:v>
                </c:pt>
                <c:pt idx="78">
                  <c:v>#N/A</c:v>
                </c:pt>
                <c:pt idx="79">
                  <c:v>55.642182554200218</c:v>
                </c:pt>
                <c:pt idx="80">
                  <c:v>#N/A</c:v>
                </c:pt>
                <c:pt idx="81">
                  <c:v>55.642182554200218</c:v>
                </c:pt>
                <c:pt idx="82">
                  <c:v>#N/A</c:v>
                </c:pt>
                <c:pt idx="83">
                  <c:v>55.642182554200218</c:v>
                </c:pt>
                <c:pt idx="84">
                  <c:v>#N/A</c:v>
                </c:pt>
                <c:pt idx="85">
                  <c:v>55.642182554200218</c:v>
                </c:pt>
                <c:pt idx="86">
                  <c:v>#N/A</c:v>
                </c:pt>
                <c:pt idx="87">
                  <c:v>55.642182554200218</c:v>
                </c:pt>
                <c:pt idx="88">
                  <c:v>#N/A</c:v>
                </c:pt>
                <c:pt idx="89">
                  <c:v>55.642182554200218</c:v>
                </c:pt>
                <c:pt idx="90">
                  <c:v>#N/A</c:v>
                </c:pt>
                <c:pt idx="91">
                  <c:v>55.642182554200218</c:v>
                </c:pt>
                <c:pt idx="92">
                  <c:v>#N/A</c:v>
                </c:pt>
                <c:pt idx="93">
                  <c:v>55.642182554200218</c:v>
                </c:pt>
                <c:pt idx="94">
                  <c:v>#N/A</c:v>
                </c:pt>
                <c:pt idx="95">
                  <c:v>55.642182554200218</c:v>
                </c:pt>
                <c:pt idx="96">
                  <c:v>#N/A</c:v>
                </c:pt>
                <c:pt idx="97">
                  <c:v>55.642182554200218</c:v>
                </c:pt>
                <c:pt idx="98">
                  <c:v>55.63905080966066</c:v>
                </c:pt>
                <c:pt idx="99">
                  <c:v>#N/A</c:v>
                </c:pt>
                <c:pt idx="100">
                  <c:v>54.581467624293744</c:v>
                </c:pt>
                <c:pt idx="101">
                  <c:v>#N/A</c:v>
                </c:pt>
                <c:pt idx="102">
                  <c:v>52.066272927651568</c:v>
                </c:pt>
                <c:pt idx="103">
                  <c:v>#N/A</c:v>
                </c:pt>
                <c:pt idx="104">
                  <c:v>49.159724886314393</c:v>
                </c:pt>
                <c:pt idx="105">
                  <c:v>#N/A</c:v>
                </c:pt>
                <c:pt idx="106">
                  <c:v>45.784144196391686</c:v>
                </c:pt>
                <c:pt idx="107">
                  <c:v>#N/A</c:v>
                </c:pt>
                <c:pt idx="108">
                  <c:v>41.829951874116361</c:v>
                </c:pt>
                <c:pt idx="109">
                  <c:v>36.96477179263416</c:v>
                </c:pt>
                <c:pt idx="110">
                  <c:v>#N/A</c:v>
                </c:pt>
                <c:pt idx="111">
                  <c:v>36.945</c:v>
                </c:pt>
                <c:pt idx="112">
                  <c:v>#N/A</c:v>
                </c:pt>
                <c:pt idx="113">
                  <c:v>36.945</c:v>
                </c:pt>
                <c:pt idx="114">
                  <c:v>#N/A</c:v>
                </c:pt>
                <c:pt idx="115">
                  <c:v>36.945</c:v>
                </c:pt>
                <c:pt idx="116">
                  <c:v>#N/A</c:v>
                </c:pt>
                <c:pt idx="117">
                  <c:v>36.945</c:v>
                </c:pt>
                <c:pt idx="118">
                  <c:v>#N/A</c:v>
                </c:pt>
                <c:pt idx="119">
                  <c:v>36.945</c:v>
                </c:pt>
                <c:pt idx="120">
                  <c:v>#N/A</c:v>
                </c:pt>
                <c:pt idx="121">
                  <c:v>36.945</c:v>
                </c:pt>
                <c:pt idx="122">
                  <c:v>#N/A</c:v>
                </c:pt>
                <c:pt idx="123">
                  <c:v>36.945</c:v>
                </c:pt>
                <c:pt idx="124">
                  <c:v>#N/A</c:v>
                </c:pt>
                <c:pt idx="125">
                  <c:v>36.945</c:v>
                </c:pt>
                <c:pt idx="126">
                  <c:v>#N/A</c:v>
                </c:pt>
                <c:pt idx="127">
                  <c:v>36.945</c:v>
                </c:pt>
                <c:pt idx="128">
                  <c:v>#N/A</c:v>
                </c:pt>
                <c:pt idx="129">
                  <c:v>36.945</c:v>
                </c:pt>
                <c:pt idx="130">
                  <c:v>#N/A</c:v>
                </c:pt>
                <c:pt idx="131">
                  <c:v>36.945</c:v>
                </c:pt>
                <c:pt idx="132">
                  <c:v>#N/A</c:v>
                </c:pt>
                <c:pt idx="133">
                  <c:v>36.945</c:v>
                </c:pt>
                <c:pt idx="134">
                  <c:v>#N/A</c:v>
                </c:pt>
                <c:pt idx="135">
                  <c:v>36.908257456254603</c:v>
                </c:pt>
                <c:pt idx="136">
                  <c:v>#N/A</c:v>
                </c:pt>
                <c:pt idx="137">
                  <c:v>36.797883360908884</c:v>
                </c:pt>
                <c:pt idx="138">
                  <c:v>#N/A</c:v>
                </c:pt>
                <c:pt idx="139">
                  <c:v>36.613100769732966</c:v>
                </c:pt>
                <c:pt idx="140">
                  <c:v>#N/A</c:v>
                </c:pt>
                <c:pt idx="141">
                  <c:v>36.352961425064393</c:v>
                </c:pt>
                <c:pt idx="142">
                  <c:v>#N/A</c:v>
                </c:pt>
                <c:pt idx="143">
                  <c:v>36.015569094187278</c:v>
                </c:pt>
                <c:pt idx="144">
                  <c:v>#N/A</c:v>
                </c:pt>
                <c:pt idx="145">
                  <c:v>35.599069911831883</c:v>
                </c:pt>
                <c:pt idx="146">
                  <c:v>#N/A</c:v>
                </c:pt>
                <c:pt idx="147">
                  <c:v>35.100223305099426</c:v>
                </c:pt>
                <c:pt idx="148">
                  <c:v>#N/A</c:v>
                </c:pt>
                <c:pt idx="149">
                  <c:v>34.515969383589372</c:v>
                </c:pt>
                <c:pt idx="150">
                  <c:v>#N/A</c:v>
                </c:pt>
                <c:pt idx="151">
                  <c:v>33.841284323199396</c:v>
                </c:pt>
                <c:pt idx="152">
                  <c:v>#N/A</c:v>
                </c:pt>
                <c:pt idx="153">
                  <c:v>33.071330424952265</c:v>
                </c:pt>
                <c:pt idx="154">
                  <c:v>#N/A</c:v>
                </c:pt>
                <c:pt idx="155">
                  <c:v>32.198474543144251</c:v>
                </c:pt>
                <c:pt idx="156">
                  <c:v>#N/A</c:v>
                </c:pt>
                <c:pt idx="157">
                  <c:v>31.214997026268918</c:v>
                </c:pt>
                <c:pt idx="158">
                  <c:v>#N/A</c:v>
                </c:pt>
                <c:pt idx="159">
                  <c:v>30.10902507311561</c:v>
                </c:pt>
                <c:pt idx="160">
                  <c:v>#N/A</c:v>
                </c:pt>
                <c:pt idx="161">
                  <c:v>28.867656162385117</c:v>
                </c:pt>
                <c:pt idx="162">
                  <c:v>#N/A</c:v>
                </c:pt>
                <c:pt idx="163">
                  <c:v>27.471210539173754</c:v>
                </c:pt>
                <c:pt idx="164">
                  <c:v>#N/A</c:v>
                </c:pt>
                <c:pt idx="165">
                  <c:v>26.308203771066466</c:v>
                </c:pt>
                <c:pt idx="166">
                  <c:v>#N/A</c:v>
                </c:pt>
                <c:pt idx="167">
                  <c:v>25.030482306926825</c:v>
                </c:pt>
                <c:pt idx="168">
                  <c:v>24.438040349682659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39-E24F-9A0A-3B4260C5105E}"/>
            </c:ext>
          </c:extLst>
        </c:ser>
        <c:ser>
          <c:idx val="4"/>
          <c:order val="4"/>
          <c:tx>
            <c:v>Chopper Positions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>
                  <a:defRPr/>
                </a:pPr>
                <a:endParaRPr lang="sv-S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Hilfstabelle_Geometrie!$I$3:$I$10</c:f>
              <c:numCache>
                <c:formatCode>General</c:formatCode>
                <c:ptCount val="8"/>
                <c:pt idx="0">
                  <c:v>15.431550000000001</c:v>
                </c:pt>
                <c:pt idx="1">
                  <c:v>15.458048723885605</c:v>
                </c:pt>
                <c:pt idx="2">
                  <c:v>20.46725</c:v>
                </c:pt>
                <c:pt idx="3">
                  <c:v>20.49374807424331</c:v>
                </c:pt>
                <c:pt idx="4">
                  <c:v>105.61500000000001</c:v>
                </c:pt>
                <c:pt idx="5">
                  <c:v>105.71499908696082</c:v>
                </c:pt>
                <c:pt idx="6">
                  <c:v>158.44499999999999</c:v>
                </c:pt>
                <c:pt idx="7">
                  <c:v>158.54499908696081</c:v>
                </c:pt>
              </c:numCache>
            </c:numRef>
          </c:xVal>
          <c:yVal>
            <c:numRef>
              <c:f>Hilfstabelle_Geometrie!$J$3:$J$10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39-E24F-9A0A-3B4260C5105E}"/>
            </c:ext>
          </c:extLst>
        </c:ser>
        <c:ser>
          <c:idx val="5"/>
          <c:order val="5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Hilfstabelle_Geometrie!$O$3:$O$4</c:f>
              <c:numCache>
                <c:formatCode>General</c:formatCode>
                <c:ptCount val="2"/>
                <c:pt idx="0">
                  <c:v>1.9</c:v>
                </c:pt>
                <c:pt idx="1">
                  <c:v>1.9</c:v>
                </c:pt>
              </c:numCache>
            </c:numRef>
          </c:xVal>
          <c:yVal>
            <c:numRef>
              <c:f>Hilfstabelle_Geometrie!$P$3:$P$4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39-E24F-9A0A-3B4260C5105E}"/>
            </c:ext>
          </c:extLst>
        </c:ser>
        <c:ser>
          <c:idx val="6"/>
          <c:order val="6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Hilfstabelle_Geometrie!$O$5:$O$6</c:f>
              <c:numCache>
                <c:formatCode>General</c:formatCode>
                <c:ptCount val="2"/>
                <c:pt idx="0">
                  <c:v>3.4009999999999998</c:v>
                </c:pt>
                <c:pt idx="1">
                  <c:v>3.4009999999999998</c:v>
                </c:pt>
              </c:numCache>
            </c:numRef>
          </c:xVal>
          <c:yVal>
            <c:numRef>
              <c:f>Hilfstabelle_Geometrie!$P$5:$P$6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39-E24F-9A0A-3B4260C5105E}"/>
            </c:ext>
          </c:extLst>
        </c:ser>
        <c:ser>
          <c:idx val="7"/>
          <c:order val="7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Hilfstabelle_Geometrie!$O$7:$O$8</c:f>
              <c:numCache>
                <c:formatCode>General</c:formatCode>
                <c:ptCount val="2"/>
                <c:pt idx="0">
                  <c:v>54.511000000000003</c:v>
                </c:pt>
                <c:pt idx="1">
                  <c:v>54.511000000000003</c:v>
                </c:pt>
              </c:numCache>
            </c:numRef>
          </c:xVal>
          <c:yVal>
            <c:numRef>
              <c:f>Hilfstabelle_Geometrie!$P$7:$P$8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39-E24F-9A0A-3B4260C5105E}"/>
            </c:ext>
          </c:extLst>
        </c:ser>
        <c:ser>
          <c:idx val="8"/>
          <c:order val="8"/>
          <c:tx>
            <c:strRef>
              <c:f>Hilfstabelle_Geometrie!$R$3:$R$4</c:f>
              <c:strCache>
                <c:ptCount val="2"/>
                <c:pt idx="0">
                  <c:v>93,473</c:v>
                </c:pt>
                <c:pt idx="1">
                  <c:v>93,473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Hilfstabelle_Geometrie!$R$3:$R$4</c:f>
              <c:numCache>
                <c:formatCode>General</c:formatCode>
                <c:ptCount val="2"/>
                <c:pt idx="0">
                  <c:v>93.472999999999999</c:v>
                </c:pt>
                <c:pt idx="1">
                  <c:v>93.472999999999999</c:v>
                </c:pt>
              </c:numCache>
            </c:numRef>
          </c:xVal>
          <c:yVal>
            <c:numRef>
              <c:f>Hilfstabelle_Geometrie!$S$3:$S$4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39-E24F-9A0A-3B4260C5105E}"/>
            </c:ext>
          </c:extLst>
        </c:ser>
        <c:ser>
          <c:idx val="9"/>
          <c:order val="9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Hilfstabelle_Geometrie!$R$5:$R$6</c:f>
              <c:numCache>
                <c:formatCode>General</c:formatCode>
                <c:ptCount val="2"/>
                <c:pt idx="0">
                  <c:v>105.682</c:v>
                </c:pt>
                <c:pt idx="1">
                  <c:v>105.682</c:v>
                </c:pt>
              </c:numCache>
            </c:numRef>
          </c:xVal>
          <c:yVal>
            <c:numRef>
              <c:f>Hilfstabelle_Geometrie!$S$5:$S$6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539-E24F-9A0A-3B4260C5105E}"/>
            </c:ext>
          </c:extLst>
        </c:ser>
        <c:ser>
          <c:idx val="10"/>
          <c:order val="10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Hilfstabelle_Geometrie!$R$7:$R$8</c:f>
              <c:numCache>
                <c:formatCode>General</c:formatCode>
                <c:ptCount val="2"/>
                <c:pt idx="0">
                  <c:v>110.68300000000001</c:v>
                </c:pt>
                <c:pt idx="1">
                  <c:v>110.68300000000001</c:v>
                </c:pt>
              </c:numCache>
            </c:numRef>
          </c:xVal>
          <c:yVal>
            <c:numRef>
              <c:f>Hilfstabelle_Geometrie!$S$7:$S$8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539-E24F-9A0A-3B4260C5105E}"/>
            </c:ext>
          </c:extLst>
        </c:ser>
        <c:ser>
          <c:idx val="11"/>
          <c:order val="11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Hilfstabelle_Geometrie!$R$9:$R$10</c:f>
              <c:numCache>
                <c:formatCode>General</c:formatCode>
                <c:ptCount val="2"/>
                <c:pt idx="0">
                  <c:v>158.49</c:v>
                </c:pt>
                <c:pt idx="1">
                  <c:v>158.49</c:v>
                </c:pt>
              </c:numCache>
            </c:numRef>
          </c:xVal>
          <c:yVal>
            <c:numRef>
              <c:f>Hilfstabelle_Geometrie!$S$9:$S$10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539-E24F-9A0A-3B4260C51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52672"/>
        <c:axId val="153054208"/>
      </c:scatterChart>
      <c:valAx>
        <c:axId val="153052672"/>
        <c:scaling>
          <c:orientation val="minMax"/>
          <c:max val="16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out"/>
        <c:tickLblPos val="nextTo"/>
        <c:spPr>
          <a:ln w="19050"/>
        </c:spPr>
        <c:txPr>
          <a:bodyPr/>
          <a:lstStyle/>
          <a:p>
            <a:pPr>
              <a:defRPr sz="1400"/>
            </a:pPr>
            <a:endParaRPr lang="sv-SE"/>
          </a:p>
        </c:txPr>
        <c:crossAx val="153054208"/>
        <c:crosses val="autoZero"/>
        <c:crossBetween val="midCat"/>
        <c:majorUnit val="10"/>
        <c:minorUnit val="1"/>
      </c:valAx>
      <c:valAx>
        <c:axId val="153054208"/>
        <c:scaling>
          <c:orientation val="minMax"/>
          <c:max val="60"/>
          <c:min val="-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sv-SE"/>
          </a:p>
        </c:txPr>
        <c:crossAx val="153052672"/>
        <c:crosses val="autoZero"/>
        <c:crossBetween val="midCat"/>
        <c:majorUnit val="10"/>
        <c:minorUnit val="2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0152374297923"/>
          <c:y val="2.349739615881348E-2"/>
          <c:w val="0.84513224584128344"/>
          <c:h val="0.87871416072990871"/>
        </c:manualLayout>
      </c:layout>
      <c:scatterChart>
        <c:scatterStyle val="lineMarker"/>
        <c:varyColors val="0"/>
        <c:ser>
          <c:idx val="0"/>
          <c:order val="0"/>
          <c:tx>
            <c:v>ISCS xz plane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Specification!$F$3:$F$175</c:f>
              <c:numCache>
                <c:formatCode>0.00</c:formatCode>
                <c:ptCount val="173"/>
                <c:pt idx="0">
                  <c:v>1879.9388780356139</c:v>
                </c:pt>
                <c:pt idx="1">
                  <c:v>2379.9388780356139</c:v>
                </c:pt>
                <c:pt idx="2">
                  <c:v>2879.9388709559971</c:v>
                </c:pt>
                <c:pt idx="3">
                  <c:v>3379.9388072393895</c:v>
                </c:pt>
                <c:pt idx="4">
                  <c:v>3879.9386302486555</c:v>
                </c:pt>
                <c:pt idx="5">
                  <c:v>4379.9382833465206</c:v>
                </c:pt>
                <c:pt idx="6">
                  <c:v>4879.9377098955756</c:v>
                </c:pt>
                <c:pt idx="7">
                  <c:v>5359.9368934938084</c:v>
                </c:pt>
                <c:pt idx="8">
                  <c:v>5877.9356623364547</c:v>
                </c:pt>
                <c:pt idx="9">
                  <c:v>8058.7882853037599</c:v>
                </c:pt>
                <c:pt idx="10">
                  <c:v>8059.7882779963638</c:v>
                </c:pt>
                <c:pt idx="11">
                  <c:v>10240.628656199107</c:v>
                </c:pt>
                <c:pt idx="12">
                  <c:v>10242.62862819445</c:v>
                </c:pt>
                <c:pt idx="13">
                  <c:v>12423.452048619507</c:v>
                </c:pt>
                <c:pt idx="14">
                  <c:v>12424.452025764233</c:v>
                </c:pt>
                <c:pt idx="15">
                  <c:v>14605.253790931702</c:v>
                </c:pt>
                <c:pt idx="16">
                  <c:v>14607.253723199252</c:v>
                </c:pt>
                <c:pt idx="17">
                  <c:v>15407.578825764485</c:v>
                </c:pt>
                <c:pt idx="18">
                  <c:v>15434.077804792387</c:v>
                </c:pt>
                <c:pt idx="19">
                  <c:v>16234.04499859703</c:v>
                </c:pt>
                <c:pt idx="20">
                  <c:v>16236.044911619663</c:v>
                </c:pt>
                <c:pt idx="21">
                  <c:v>17938.062143184528</c:v>
                </c:pt>
                <c:pt idx="22">
                  <c:v>17939.062088343606</c:v>
                </c:pt>
                <c:pt idx="23">
                  <c:v>19641.058884111219</c:v>
                </c:pt>
                <c:pt idx="24">
                  <c:v>19643.058749094875</c:v>
                </c:pt>
                <c:pt idx="25">
                  <c:v>20443.299785036335</c:v>
                </c:pt>
                <c:pt idx="26">
                  <c:v>20469.797823319605</c:v>
                </c:pt>
                <c:pt idx="27">
                  <c:v>21269.735862968209</c:v>
                </c:pt>
                <c:pt idx="28">
                  <c:v>21271.73570127556</c:v>
                </c:pt>
                <c:pt idx="29">
                  <c:v>23271.556418754641</c:v>
                </c:pt>
                <c:pt idx="30">
                  <c:v>23272.556319869182</c:v>
                </c:pt>
                <c:pt idx="31">
                  <c:v>23972.484758026822</c:v>
                </c:pt>
                <c:pt idx="32">
                  <c:v>23974.484546751813</c:v>
                </c:pt>
                <c:pt idx="33">
                  <c:v>25974.253230056114</c:v>
                </c:pt>
                <c:pt idx="34">
                  <c:v>25975.253103928284</c:v>
                </c:pt>
                <c:pt idx="35">
                  <c:v>27874.993764958854</c:v>
                </c:pt>
                <c:pt idx="36">
                  <c:v>27876.993470407539</c:v>
                </c:pt>
                <c:pt idx="37">
                  <c:v>28378.918069380205</c:v>
                </c:pt>
                <c:pt idx="38">
                  <c:v>29876.698040475942</c:v>
                </c:pt>
                <c:pt idx="39">
                  <c:v>29877.697899605984</c:v>
                </c:pt>
                <c:pt idx="40">
                  <c:v>31877.431416710544</c:v>
                </c:pt>
                <c:pt idx="41">
                  <c:v>31879.431164584603</c:v>
                </c:pt>
                <c:pt idx="42">
                  <c:v>33879.192487662702</c:v>
                </c:pt>
                <c:pt idx="43">
                  <c:v>33880.192374591767</c:v>
                </c:pt>
                <c:pt idx="44">
                  <c:v>35879.977860722778</c:v>
                </c:pt>
                <c:pt idx="45">
                  <c:v>35881.977656935</c:v>
                </c:pt>
                <c:pt idx="46">
                  <c:v>37881.783687273004</c:v>
                </c:pt>
                <c:pt idx="47">
                  <c:v>37882.783594741137</c:v>
                </c:pt>
                <c:pt idx="48">
                  <c:v>39882.606529850018</c:v>
                </c:pt>
                <c:pt idx="49">
                  <c:v>39884.606359880214</c:v>
                </c:pt>
                <c:pt idx="50">
                  <c:v>41884.442577163354</c:v>
                </c:pt>
                <c:pt idx="51">
                  <c:v>41885.442497910335</c:v>
                </c:pt>
                <c:pt idx="52">
                  <c:v>43885.288361455154</c:v>
                </c:pt>
                <c:pt idx="53">
                  <c:v>43887.288210782688</c:v>
                </c:pt>
                <c:pt idx="54">
                  <c:v>45887.140094280665</c:v>
                </c:pt>
                <c:pt idx="55">
                  <c:v>45888.1400210461</c:v>
                </c:pt>
                <c:pt idx="56">
                  <c:v>47887.994292147152</c:v>
                </c:pt>
                <c:pt idx="57">
                  <c:v>47889.994146251061</c:v>
                </c:pt>
                <c:pt idx="58">
                  <c:v>49889.847174973584</c:v>
                </c:pt>
                <c:pt idx="59">
                  <c:v>49890.84710049694</c:v>
                </c:pt>
                <c:pt idx="60">
                  <c:v>51890.695258092295</c:v>
                </c:pt>
                <c:pt idx="61">
                  <c:v>51892.695102451529</c:v>
                </c:pt>
                <c:pt idx="62">
                  <c:v>54376.494368858461</c:v>
                </c:pt>
                <c:pt idx="63">
                  <c:v>54377.494284360771</c:v>
                </c:pt>
                <c:pt idx="64">
                  <c:v>56377.32528899383</c:v>
                </c:pt>
                <c:pt idx="65">
                  <c:v>56379.325119998466</c:v>
                </c:pt>
                <c:pt idx="66">
                  <c:v>58379.156124631525</c:v>
                </c:pt>
                <c:pt idx="67">
                  <c:v>58380.156040133828</c:v>
                </c:pt>
                <c:pt idx="68">
                  <c:v>60379.987044766895</c:v>
                </c:pt>
                <c:pt idx="69">
                  <c:v>60381.986875771523</c:v>
                </c:pt>
                <c:pt idx="70">
                  <c:v>62381.817880404575</c:v>
                </c:pt>
                <c:pt idx="71">
                  <c:v>62382.817795906893</c:v>
                </c:pt>
                <c:pt idx="72">
                  <c:v>64382.648800539944</c:v>
                </c:pt>
                <c:pt idx="73">
                  <c:v>64384.64863154458</c:v>
                </c:pt>
                <c:pt idx="74">
                  <c:v>66384.479636177624</c:v>
                </c:pt>
                <c:pt idx="75">
                  <c:v>66385.479551679935</c:v>
                </c:pt>
                <c:pt idx="76">
                  <c:v>68385.310556312979</c:v>
                </c:pt>
                <c:pt idx="77">
                  <c:v>68387.310387317615</c:v>
                </c:pt>
                <c:pt idx="78">
                  <c:v>70387.141391950659</c:v>
                </c:pt>
                <c:pt idx="79">
                  <c:v>70388.141307452985</c:v>
                </c:pt>
                <c:pt idx="80">
                  <c:v>72387.972312086029</c:v>
                </c:pt>
                <c:pt idx="81">
                  <c:v>72389.972143090665</c:v>
                </c:pt>
                <c:pt idx="82">
                  <c:v>74389.803147723709</c:v>
                </c:pt>
                <c:pt idx="83">
                  <c:v>74390.80306322602</c:v>
                </c:pt>
                <c:pt idx="84">
                  <c:v>76390.634067859064</c:v>
                </c:pt>
                <c:pt idx="85">
                  <c:v>76392.6338988637</c:v>
                </c:pt>
                <c:pt idx="86">
                  <c:v>78392.464903496744</c:v>
                </c:pt>
                <c:pt idx="87">
                  <c:v>78393.464818999055</c:v>
                </c:pt>
                <c:pt idx="88">
                  <c:v>80393.295823632099</c:v>
                </c:pt>
                <c:pt idx="89">
                  <c:v>80395.295654636735</c:v>
                </c:pt>
                <c:pt idx="90">
                  <c:v>82395.126659269794</c:v>
                </c:pt>
                <c:pt idx="91">
                  <c:v>82396.12657477209</c:v>
                </c:pt>
                <c:pt idx="92">
                  <c:v>84395.957579405149</c:v>
                </c:pt>
                <c:pt idx="93">
                  <c:v>84397.957410409785</c:v>
                </c:pt>
                <c:pt idx="94">
                  <c:v>86397.788415042829</c:v>
                </c:pt>
                <c:pt idx="95">
                  <c:v>86398.788330545125</c:v>
                </c:pt>
                <c:pt idx="96">
                  <c:v>88398.619335178184</c:v>
                </c:pt>
                <c:pt idx="97">
                  <c:v>88400.61916618282</c:v>
                </c:pt>
                <c:pt idx="98">
                  <c:v>90400.450170815864</c:v>
                </c:pt>
                <c:pt idx="99">
                  <c:v>90401.45008631816</c:v>
                </c:pt>
                <c:pt idx="100">
                  <c:v>92401.281090951219</c:v>
                </c:pt>
                <c:pt idx="101">
                  <c:v>92403.280921955855</c:v>
                </c:pt>
                <c:pt idx="102">
                  <c:v>93467.191016420635</c:v>
                </c:pt>
                <c:pt idx="103">
                  <c:v>94403.111926588928</c:v>
                </c:pt>
                <c:pt idx="104">
                  <c:v>94404.111842091224</c:v>
                </c:pt>
                <c:pt idx="105">
                  <c:v>96403.942846724269</c:v>
                </c:pt>
                <c:pt idx="106">
                  <c:v>96405.942677728919</c:v>
                </c:pt>
                <c:pt idx="107">
                  <c:v>98405.773682361949</c:v>
                </c:pt>
                <c:pt idx="108">
                  <c:v>98406.773597864274</c:v>
                </c:pt>
                <c:pt idx="109">
                  <c:v>100406.6046024973</c:v>
                </c:pt>
                <c:pt idx="110">
                  <c:v>100408.60443350195</c:v>
                </c:pt>
                <c:pt idx="111">
                  <c:v>102408.435438135</c:v>
                </c:pt>
                <c:pt idx="112">
                  <c:v>102409.43535363729</c:v>
                </c:pt>
                <c:pt idx="113">
                  <c:v>104466.26154190239</c:v>
                </c:pt>
                <c:pt idx="114">
                  <c:v>104784.23467163906</c:v>
                </c:pt>
                <c:pt idx="115">
                  <c:v>104786.2345026437</c:v>
                </c:pt>
                <c:pt idx="116">
                  <c:v>105585.8885723882</c:v>
                </c:pt>
                <c:pt idx="117">
                  <c:v>105685.88012261986</c:v>
                </c:pt>
                <c:pt idx="118">
                  <c:v>106485.81252447306</c:v>
                </c:pt>
                <c:pt idx="119">
                  <c:v>106487.81235547771</c:v>
                </c:pt>
                <c:pt idx="120">
                  <c:v>108587.63491034241</c:v>
                </c:pt>
                <c:pt idx="121">
                  <c:v>108588.63482584471</c:v>
                </c:pt>
                <c:pt idx="122">
                  <c:v>110688.45738070941</c:v>
                </c:pt>
                <c:pt idx="123">
                  <c:v>110690.45721171406</c:v>
                </c:pt>
                <c:pt idx="124">
                  <c:v>112690.28821634711</c:v>
                </c:pt>
                <c:pt idx="125">
                  <c:v>112691.28813184942</c:v>
                </c:pt>
                <c:pt idx="126">
                  <c:v>114691.11913648248</c:v>
                </c:pt>
                <c:pt idx="127">
                  <c:v>114693.1189674871</c:v>
                </c:pt>
                <c:pt idx="128">
                  <c:v>116692.94997212014</c:v>
                </c:pt>
                <c:pt idx="129">
                  <c:v>116693.94988762247</c:v>
                </c:pt>
                <c:pt idx="130">
                  <c:v>118693.7808922555</c:v>
                </c:pt>
                <c:pt idx="131">
                  <c:v>118695.78072326015</c:v>
                </c:pt>
                <c:pt idx="132">
                  <c:v>120695.61172789319</c:v>
                </c:pt>
                <c:pt idx="133">
                  <c:v>120696.61164339549</c:v>
                </c:pt>
                <c:pt idx="134">
                  <c:v>122696.44264802855</c:v>
                </c:pt>
                <c:pt idx="135">
                  <c:v>122698.44247903317</c:v>
                </c:pt>
                <c:pt idx="136">
                  <c:v>124698.27348366621</c:v>
                </c:pt>
                <c:pt idx="137">
                  <c:v>124699.27339916854</c:v>
                </c:pt>
                <c:pt idx="138">
                  <c:v>126699.10440380158</c:v>
                </c:pt>
                <c:pt idx="139">
                  <c:v>126701.1042348062</c:v>
                </c:pt>
                <c:pt idx="140">
                  <c:v>128700.93523943928</c:v>
                </c:pt>
                <c:pt idx="141">
                  <c:v>128701.9351549416</c:v>
                </c:pt>
                <c:pt idx="142">
                  <c:v>130701.76615957468</c:v>
                </c:pt>
                <c:pt idx="143">
                  <c:v>130703.7659905793</c:v>
                </c:pt>
                <c:pt idx="144">
                  <c:v>132703.59699521234</c:v>
                </c:pt>
                <c:pt idx="145">
                  <c:v>132704.5969107147</c:v>
                </c:pt>
                <c:pt idx="146">
                  <c:v>134704.42791534774</c:v>
                </c:pt>
                <c:pt idx="147">
                  <c:v>134706.42774635233</c:v>
                </c:pt>
                <c:pt idx="148">
                  <c:v>136706.25875098543</c:v>
                </c:pt>
                <c:pt idx="149">
                  <c:v>136707.25866648776</c:v>
                </c:pt>
                <c:pt idx="150">
                  <c:v>138707.0896711208</c:v>
                </c:pt>
                <c:pt idx="151">
                  <c:v>138709.0895021254</c:v>
                </c:pt>
                <c:pt idx="152">
                  <c:v>140708.92050675847</c:v>
                </c:pt>
                <c:pt idx="153">
                  <c:v>140709.92042226082</c:v>
                </c:pt>
                <c:pt idx="154">
                  <c:v>142709.75142689387</c:v>
                </c:pt>
                <c:pt idx="155">
                  <c:v>142711.75125789849</c:v>
                </c:pt>
                <c:pt idx="156">
                  <c:v>144711.58226253156</c:v>
                </c:pt>
                <c:pt idx="157">
                  <c:v>144712.58217803389</c:v>
                </c:pt>
                <c:pt idx="158">
                  <c:v>146712.41318266693</c:v>
                </c:pt>
                <c:pt idx="159">
                  <c:v>146714.41301367155</c:v>
                </c:pt>
                <c:pt idx="160">
                  <c:v>148714.24401830463</c:v>
                </c:pt>
                <c:pt idx="161">
                  <c:v>148715.24393380695</c:v>
                </c:pt>
                <c:pt idx="162">
                  <c:v>150715.07493844</c:v>
                </c:pt>
                <c:pt idx="163">
                  <c:v>150717.07476944465</c:v>
                </c:pt>
                <c:pt idx="164">
                  <c:v>152716.90577407769</c:v>
                </c:pt>
                <c:pt idx="165">
                  <c:v>152717.90568958002</c:v>
                </c:pt>
                <c:pt idx="166">
                  <c:v>154717.73669421306</c:v>
                </c:pt>
                <c:pt idx="167">
                  <c:v>154719.73652521765</c:v>
                </c:pt>
                <c:pt idx="168">
                  <c:v>156219.60977869251</c:v>
                </c:pt>
                <c:pt idx="169">
                  <c:v>156220.60969419483</c:v>
                </c:pt>
                <c:pt idx="170">
                  <c:v>157720.48294766963</c:v>
                </c:pt>
                <c:pt idx="171">
                  <c:v>157721.48286317196</c:v>
                </c:pt>
                <c:pt idx="172">
                  <c:v>158411.90842892605</c:v>
                </c:pt>
              </c:numCache>
            </c:numRef>
          </c:xVal>
          <c:yVal>
            <c:numRef>
              <c:f>Specification!$H$3:$H$175</c:f>
              <c:numCache>
                <c:formatCode>0.00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-7.8124999682108565E-2</c:v>
                </c:pt>
                <c:pt idx="3">
                  <c:v>-0.31249999109903986</c:v>
                </c:pt>
                <c:pt idx="4">
                  <c:v>-0.70312495136261133</c:v>
                </c:pt>
                <c:pt idx="5">
                  <c:v>-1.2499998423258543</c:v>
                </c:pt>
                <c:pt idx="6">
                  <c:v>-1.9531246105830182</c:v>
                </c:pt>
                <c:pt idx="7">
                  <c:v>-2.7751242088091708</c:v>
                </c:pt>
                <c:pt idx="8">
                  <c:v>-3.823749742581136</c:v>
                </c:pt>
                <c:pt idx="9">
                  <c:v>-10.07795406288087</c:v>
                </c:pt>
                <c:pt idx="10">
                  <c:v>-10.081503657317551</c:v>
                </c:pt>
                <c:pt idx="11">
                  <c:v>-19.309654259829486</c:v>
                </c:pt>
                <c:pt idx="12">
                  <c:v>-19.319481377848856</c:v>
                </c:pt>
                <c:pt idx="13">
                  <c:v>-31.522924120139351</c:v>
                </c:pt>
                <c:pt idx="14">
                  <c:v>-31.529201634580694</c:v>
                </c:pt>
                <c:pt idx="15">
                  <c:v>-46.706550796182015</c:v>
                </c:pt>
                <c:pt idx="16">
                  <c:v>-46.721833712570238</c:v>
                </c:pt>
                <c:pt idx="17">
                  <c:v>-53.035494219894197</c:v>
                </c:pt>
                <c:pt idx="18">
                  <c:v>-53.251478457116214</c:v>
                </c:pt>
                <c:pt idx="19">
                  <c:v>-59.978375233894695</c:v>
                </c:pt>
                <c:pt idx="20">
                  <c:v>-59.995693707582497</c:v>
                </c:pt>
                <c:pt idx="21">
                  <c:v>-75.640972268247125</c:v>
                </c:pt>
                <c:pt idx="22">
                  <c:v>-75.650696210460666</c:v>
                </c:pt>
                <c:pt idx="23">
                  <c:v>-93.107669453770271</c:v>
                </c:pt>
                <c:pt idx="24">
                  <c:v>-93.129246726888695</c:v>
                </c:pt>
                <c:pt idx="25">
                  <c:v>-101.96064403218836</c:v>
                </c:pt>
                <c:pt idx="26">
                  <c:v>-102.26002809415552</c:v>
                </c:pt>
                <c:pt idx="27">
                  <c:v>-111.50464902169112</c:v>
                </c:pt>
                <c:pt idx="28">
                  <c:v>-111.52826178981029</c:v>
                </c:pt>
                <c:pt idx="29">
                  <c:v>-136.3921879969179</c:v>
                </c:pt>
                <c:pt idx="30">
                  <c:v>-136.40524522172612</c:v>
                </c:pt>
                <c:pt idx="31">
                  <c:v>-145.69863304450732</c:v>
                </c:pt>
                <c:pt idx="32">
                  <c:v>-145.72562429183282</c:v>
                </c:pt>
                <c:pt idx="33">
                  <c:v>-173.96800230199185</c:v>
                </c:pt>
                <c:pt idx="34">
                  <c:v>-173.98274873834612</c:v>
                </c:pt>
                <c:pt idx="35">
                  <c:v>-203.12956882032992</c:v>
                </c:pt>
                <c:pt idx="36">
                  <c:v>-203.16143828820282</c:v>
                </c:pt>
                <c:pt idx="37">
                  <c:v>-211.23972958619797</c:v>
                </c:pt>
                <c:pt idx="38">
                  <c:v>-234.87967248425196</c:v>
                </c:pt>
                <c:pt idx="39">
                  <c:v>-234.89498510664086</c:v>
                </c:pt>
                <c:pt idx="40">
                  <c:v>-264.26974560808299</c:v>
                </c:pt>
                <c:pt idx="41">
                  <c:v>-264.29786924788385</c:v>
                </c:pt>
                <c:pt idx="42">
                  <c:v>-291.17037734043299</c:v>
                </c:pt>
                <c:pt idx="43">
                  <c:v>-291.18318833584038</c:v>
                </c:pt>
                <c:pt idx="44">
                  <c:v>-315.55465185438334</c:v>
                </c:pt>
                <c:pt idx="45">
                  <c:v>-315.57777215611776</c:v>
                </c:pt>
                <c:pt idx="46">
                  <c:v>-337.44690305689232</c:v>
                </c:pt>
                <c:pt idx="47">
                  <c:v>-337.45721234512951</c:v>
                </c:pt>
                <c:pt idx="48">
                  <c:v>-356.8252263306378</c:v>
                </c:pt>
                <c:pt idx="49">
                  <c:v>-356.84334314958704</c:v>
                </c:pt>
                <c:pt idx="50">
                  <c:v>-373.70895997149029</c:v>
                </c:pt>
                <c:pt idx="51">
                  <c:v>-373.71676748802741</c:v>
                </c:pt>
                <c:pt idx="52">
                  <c:v>-388.08121070883362</c:v>
                </c:pt>
                <c:pt idx="53">
                  <c:v>-388.09432393159773</c:v>
                </c:pt>
                <c:pt idx="54">
                  <c:v>-399.95632110640514</c:v>
                </c:pt>
                <c:pt idx="55">
                  <c:v>-399.96162680237205</c:v>
                </c:pt>
                <c:pt idx="56">
                  <c:v>-409.32240934603578</c:v>
                </c:pt>
                <c:pt idx="57">
                  <c:v>-409.33051889053422</c:v>
                </c:pt>
                <c:pt idx="58">
                  <c:v>-416.18882216955433</c:v>
                </c:pt>
                <c:pt idx="59">
                  <c:v>-416.19162601174071</c:v>
                </c:pt>
                <c:pt idx="60">
                  <c:v>-420.54868928561132</c:v>
                </c:pt>
                <c:pt idx="61">
                  <c:v>-420.55179510108337</c:v>
                </c:pt>
                <c:pt idx="62">
                  <c:v>-422.47946177423233</c:v>
                </c:pt>
                <c:pt idx="63">
                  <c:v>-422.47946124509252</c:v>
                </c:pt>
                <c:pt idx="64">
                  <c:v>-422.47946124509252</c:v>
                </c:pt>
                <c:pt idx="65">
                  <c:v>-422.47946124509252</c:v>
                </c:pt>
                <c:pt idx="66">
                  <c:v>-422.47946124509252</c:v>
                </c:pt>
                <c:pt idx="67">
                  <c:v>-422.47946124509252</c:v>
                </c:pt>
                <c:pt idx="68">
                  <c:v>-422.47946124509252</c:v>
                </c:pt>
                <c:pt idx="69">
                  <c:v>-422.47946124509252</c:v>
                </c:pt>
                <c:pt idx="70">
                  <c:v>-422.47946124509252</c:v>
                </c:pt>
                <c:pt idx="71">
                  <c:v>-422.47946124509252</c:v>
                </c:pt>
                <c:pt idx="72">
                  <c:v>-422.47946124509252</c:v>
                </c:pt>
                <c:pt idx="73">
                  <c:v>-422.47946124509252</c:v>
                </c:pt>
                <c:pt idx="74">
                  <c:v>-422.47946124509252</c:v>
                </c:pt>
                <c:pt idx="75">
                  <c:v>-422.47946124509252</c:v>
                </c:pt>
                <c:pt idx="76">
                  <c:v>-422.47946124509252</c:v>
                </c:pt>
                <c:pt idx="77">
                  <c:v>-422.47946124509252</c:v>
                </c:pt>
                <c:pt idx="78">
                  <c:v>-422.47946124509252</c:v>
                </c:pt>
                <c:pt idx="79">
                  <c:v>-422.47946124509252</c:v>
                </c:pt>
                <c:pt idx="80">
                  <c:v>-422.47946124509252</c:v>
                </c:pt>
                <c:pt idx="81">
                  <c:v>-422.47946124509252</c:v>
                </c:pt>
                <c:pt idx="82">
                  <c:v>-422.47946124509252</c:v>
                </c:pt>
                <c:pt idx="83">
                  <c:v>-422.47946124509252</c:v>
                </c:pt>
                <c:pt idx="84">
                  <c:v>-422.47946124509252</c:v>
                </c:pt>
                <c:pt idx="85">
                  <c:v>-422.47946124509252</c:v>
                </c:pt>
                <c:pt idx="86">
                  <c:v>-422.47946124509252</c:v>
                </c:pt>
                <c:pt idx="87">
                  <c:v>-422.47946124509252</c:v>
                </c:pt>
                <c:pt idx="88">
                  <c:v>-422.47946124509252</c:v>
                </c:pt>
                <c:pt idx="89">
                  <c:v>-422.47946124509252</c:v>
                </c:pt>
                <c:pt idx="90">
                  <c:v>-422.47946124509252</c:v>
                </c:pt>
                <c:pt idx="91">
                  <c:v>-422.47946124509252</c:v>
                </c:pt>
                <c:pt idx="92">
                  <c:v>-422.47946124509252</c:v>
                </c:pt>
                <c:pt idx="93">
                  <c:v>-422.47946124509252</c:v>
                </c:pt>
                <c:pt idx="94">
                  <c:v>-422.47946124509252</c:v>
                </c:pt>
                <c:pt idx="95">
                  <c:v>-422.47946124509252</c:v>
                </c:pt>
                <c:pt idx="96">
                  <c:v>-422.47946124509252</c:v>
                </c:pt>
                <c:pt idx="97">
                  <c:v>-422.47946124509252</c:v>
                </c:pt>
                <c:pt idx="98">
                  <c:v>-422.47946124509252</c:v>
                </c:pt>
                <c:pt idx="99">
                  <c:v>-422.47946124509252</c:v>
                </c:pt>
                <c:pt idx="100">
                  <c:v>-422.47946124509252</c:v>
                </c:pt>
                <c:pt idx="101">
                  <c:v>-422.47946124509252</c:v>
                </c:pt>
                <c:pt idx="102">
                  <c:v>-422.47946124509252</c:v>
                </c:pt>
                <c:pt idx="103">
                  <c:v>-422.47946124509252</c:v>
                </c:pt>
                <c:pt idx="104">
                  <c:v>-422.47946124509252</c:v>
                </c:pt>
                <c:pt idx="105">
                  <c:v>-422.47946124509252</c:v>
                </c:pt>
                <c:pt idx="106">
                  <c:v>-422.47946124509252</c:v>
                </c:pt>
                <c:pt idx="107">
                  <c:v>-422.47946124509252</c:v>
                </c:pt>
                <c:pt idx="108">
                  <c:v>-422.47946124509252</c:v>
                </c:pt>
                <c:pt idx="109">
                  <c:v>-422.47946124509252</c:v>
                </c:pt>
                <c:pt idx="110">
                  <c:v>-422.47946124509252</c:v>
                </c:pt>
                <c:pt idx="111">
                  <c:v>-422.47946124509252</c:v>
                </c:pt>
                <c:pt idx="112">
                  <c:v>-422.47946124509252</c:v>
                </c:pt>
                <c:pt idx="113">
                  <c:v>-422.47946124509252</c:v>
                </c:pt>
                <c:pt idx="114">
                  <c:v>-422.47946124509252</c:v>
                </c:pt>
                <c:pt idx="115">
                  <c:v>-422.47946124509252</c:v>
                </c:pt>
                <c:pt idx="116">
                  <c:v>-422.47946124509252</c:v>
                </c:pt>
                <c:pt idx="117">
                  <c:v>-422.47946124509252</c:v>
                </c:pt>
                <c:pt idx="118">
                  <c:v>-422.47946124509252</c:v>
                </c:pt>
                <c:pt idx="119">
                  <c:v>-422.47946124509252</c:v>
                </c:pt>
                <c:pt idx="120">
                  <c:v>-422.47946124509252</c:v>
                </c:pt>
                <c:pt idx="121">
                  <c:v>-422.47946124509252</c:v>
                </c:pt>
                <c:pt idx="122">
                  <c:v>-422.47946124509252</c:v>
                </c:pt>
                <c:pt idx="123">
                  <c:v>-422.47946124509252</c:v>
                </c:pt>
                <c:pt idx="124">
                  <c:v>-422.47946124509252</c:v>
                </c:pt>
                <c:pt idx="125">
                  <c:v>-422.47946124509252</c:v>
                </c:pt>
                <c:pt idx="126">
                  <c:v>-422.47946124509252</c:v>
                </c:pt>
                <c:pt idx="127">
                  <c:v>-422.47946124509252</c:v>
                </c:pt>
                <c:pt idx="128">
                  <c:v>-422.47946124509252</c:v>
                </c:pt>
                <c:pt idx="129">
                  <c:v>-422.47946124509252</c:v>
                </c:pt>
                <c:pt idx="130">
                  <c:v>-422.47946124509252</c:v>
                </c:pt>
                <c:pt idx="131">
                  <c:v>-422.47946124509252</c:v>
                </c:pt>
                <c:pt idx="132">
                  <c:v>-422.47946124509252</c:v>
                </c:pt>
                <c:pt idx="133">
                  <c:v>-422.47946124509252</c:v>
                </c:pt>
                <c:pt idx="134">
                  <c:v>-422.47946124509252</c:v>
                </c:pt>
                <c:pt idx="135">
                  <c:v>-422.47946124509252</c:v>
                </c:pt>
                <c:pt idx="136">
                  <c:v>-422.47946124509252</c:v>
                </c:pt>
                <c:pt idx="137">
                  <c:v>-422.47946124509252</c:v>
                </c:pt>
                <c:pt idx="138">
                  <c:v>-422.47946124509252</c:v>
                </c:pt>
                <c:pt idx="139">
                  <c:v>-422.47946124509252</c:v>
                </c:pt>
                <c:pt idx="140">
                  <c:v>-422.47946124509252</c:v>
                </c:pt>
                <c:pt idx="141">
                  <c:v>-422.47946124509252</c:v>
                </c:pt>
                <c:pt idx="142">
                  <c:v>-422.47946124509252</c:v>
                </c:pt>
                <c:pt idx="143">
                  <c:v>-422.47946124509252</c:v>
                </c:pt>
                <c:pt idx="144">
                  <c:v>-422.47946124509252</c:v>
                </c:pt>
                <c:pt idx="145">
                  <c:v>-422.47946124509252</c:v>
                </c:pt>
                <c:pt idx="146">
                  <c:v>-422.47946124509252</c:v>
                </c:pt>
                <c:pt idx="147">
                  <c:v>-422.47946124509252</c:v>
                </c:pt>
                <c:pt idx="148">
                  <c:v>-422.47946124509252</c:v>
                </c:pt>
                <c:pt idx="149">
                  <c:v>-422.47946124509252</c:v>
                </c:pt>
                <c:pt idx="150">
                  <c:v>-422.47946124509252</c:v>
                </c:pt>
                <c:pt idx="151">
                  <c:v>-422.47946124509252</c:v>
                </c:pt>
                <c:pt idx="152">
                  <c:v>-422.47946124509252</c:v>
                </c:pt>
                <c:pt idx="153">
                  <c:v>-422.47946124509252</c:v>
                </c:pt>
                <c:pt idx="154">
                  <c:v>-422.47946124509252</c:v>
                </c:pt>
                <c:pt idx="155">
                  <c:v>-422.47946124509252</c:v>
                </c:pt>
                <c:pt idx="156">
                  <c:v>-422.47946124509252</c:v>
                </c:pt>
                <c:pt idx="157">
                  <c:v>-422.47946124509252</c:v>
                </c:pt>
                <c:pt idx="158">
                  <c:v>-422.47946124509252</c:v>
                </c:pt>
                <c:pt idx="159">
                  <c:v>-422.47946124509252</c:v>
                </c:pt>
                <c:pt idx="160">
                  <c:v>-422.47946124509252</c:v>
                </c:pt>
                <c:pt idx="161">
                  <c:v>-422.47946124509252</c:v>
                </c:pt>
                <c:pt idx="162">
                  <c:v>-422.47946124509252</c:v>
                </c:pt>
                <c:pt idx="163">
                  <c:v>-422.47946124509252</c:v>
                </c:pt>
                <c:pt idx="164">
                  <c:v>-422.47946124509252</c:v>
                </c:pt>
                <c:pt idx="165">
                  <c:v>-422.47946124509252</c:v>
                </c:pt>
                <c:pt idx="166">
                  <c:v>-422.47946124509252</c:v>
                </c:pt>
                <c:pt idx="167">
                  <c:v>-422.47946124509252</c:v>
                </c:pt>
                <c:pt idx="168">
                  <c:v>-422.47946124509252</c:v>
                </c:pt>
                <c:pt idx="169">
                  <c:v>-422.47946124509252</c:v>
                </c:pt>
                <c:pt idx="170">
                  <c:v>-422.47946124509252</c:v>
                </c:pt>
                <c:pt idx="171">
                  <c:v>-422.47946124509252</c:v>
                </c:pt>
                <c:pt idx="172">
                  <c:v>-422.47946124509252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C0-1340-8B81-19B3A925C3AE}"/>
            </c:ext>
          </c:extLst>
        </c:ser>
        <c:ser>
          <c:idx val="1"/>
          <c:order val="1"/>
          <c:tx>
            <c:v>ISCS xy plane</c:v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Specification!$F$3:$F$175</c:f>
              <c:numCache>
                <c:formatCode>0.00</c:formatCode>
                <c:ptCount val="173"/>
                <c:pt idx="0">
                  <c:v>1879.9388780356139</c:v>
                </c:pt>
                <c:pt idx="1">
                  <c:v>2379.9388780356139</c:v>
                </c:pt>
                <c:pt idx="2">
                  <c:v>2879.9388709559971</c:v>
                </c:pt>
                <c:pt idx="3">
                  <c:v>3379.9388072393895</c:v>
                </c:pt>
                <c:pt idx="4">
                  <c:v>3879.9386302486555</c:v>
                </c:pt>
                <c:pt idx="5">
                  <c:v>4379.9382833465206</c:v>
                </c:pt>
                <c:pt idx="6">
                  <c:v>4879.9377098955756</c:v>
                </c:pt>
                <c:pt idx="7">
                  <c:v>5359.9368934938084</c:v>
                </c:pt>
                <c:pt idx="8">
                  <c:v>5877.9356623364547</c:v>
                </c:pt>
                <c:pt idx="9">
                  <c:v>8058.7882853037599</c:v>
                </c:pt>
                <c:pt idx="10">
                  <c:v>8059.7882779963638</c:v>
                </c:pt>
                <c:pt idx="11">
                  <c:v>10240.628656199107</c:v>
                </c:pt>
                <c:pt idx="12">
                  <c:v>10242.62862819445</c:v>
                </c:pt>
                <c:pt idx="13">
                  <c:v>12423.452048619507</c:v>
                </c:pt>
                <c:pt idx="14">
                  <c:v>12424.452025764233</c:v>
                </c:pt>
                <c:pt idx="15">
                  <c:v>14605.253790931702</c:v>
                </c:pt>
                <c:pt idx="16">
                  <c:v>14607.253723199252</c:v>
                </c:pt>
                <c:pt idx="17">
                  <c:v>15407.578825764485</c:v>
                </c:pt>
                <c:pt idx="18">
                  <c:v>15434.077804792387</c:v>
                </c:pt>
                <c:pt idx="19">
                  <c:v>16234.04499859703</c:v>
                </c:pt>
                <c:pt idx="20">
                  <c:v>16236.044911619663</c:v>
                </c:pt>
                <c:pt idx="21">
                  <c:v>17938.062143184528</c:v>
                </c:pt>
                <c:pt idx="22">
                  <c:v>17939.062088343606</c:v>
                </c:pt>
                <c:pt idx="23">
                  <c:v>19641.058884111219</c:v>
                </c:pt>
                <c:pt idx="24">
                  <c:v>19643.058749094875</c:v>
                </c:pt>
                <c:pt idx="25">
                  <c:v>20443.299785036335</c:v>
                </c:pt>
                <c:pt idx="26">
                  <c:v>20469.797823319605</c:v>
                </c:pt>
                <c:pt idx="27">
                  <c:v>21269.735862968209</c:v>
                </c:pt>
                <c:pt idx="28">
                  <c:v>21271.73570127556</c:v>
                </c:pt>
                <c:pt idx="29">
                  <c:v>23271.556418754641</c:v>
                </c:pt>
                <c:pt idx="30">
                  <c:v>23272.556319869182</c:v>
                </c:pt>
                <c:pt idx="31">
                  <c:v>23972.484758026822</c:v>
                </c:pt>
                <c:pt idx="32">
                  <c:v>23974.484546751813</c:v>
                </c:pt>
                <c:pt idx="33">
                  <c:v>25974.253230056114</c:v>
                </c:pt>
                <c:pt idx="34">
                  <c:v>25975.253103928284</c:v>
                </c:pt>
                <c:pt idx="35">
                  <c:v>27874.993764958854</c:v>
                </c:pt>
                <c:pt idx="36">
                  <c:v>27876.993470407539</c:v>
                </c:pt>
                <c:pt idx="37">
                  <c:v>28378.918069380205</c:v>
                </c:pt>
                <c:pt idx="38">
                  <c:v>29876.698040475942</c:v>
                </c:pt>
                <c:pt idx="39">
                  <c:v>29877.697899605984</c:v>
                </c:pt>
                <c:pt idx="40">
                  <c:v>31877.431416710544</c:v>
                </c:pt>
                <c:pt idx="41">
                  <c:v>31879.431164584603</c:v>
                </c:pt>
                <c:pt idx="42">
                  <c:v>33879.192487662702</c:v>
                </c:pt>
                <c:pt idx="43">
                  <c:v>33880.192374591767</c:v>
                </c:pt>
                <c:pt idx="44">
                  <c:v>35879.977860722778</c:v>
                </c:pt>
                <c:pt idx="45">
                  <c:v>35881.977656935</c:v>
                </c:pt>
                <c:pt idx="46">
                  <c:v>37881.783687273004</c:v>
                </c:pt>
                <c:pt idx="47">
                  <c:v>37882.783594741137</c:v>
                </c:pt>
                <c:pt idx="48">
                  <c:v>39882.606529850018</c:v>
                </c:pt>
                <c:pt idx="49">
                  <c:v>39884.606359880214</c:v>
                </c:pt>
                <c:pt idx="50">
                  <c:v>41884.442577163354</c:v>
                </c:pt>
                <c:pt idx="51">
                  <c:v>41885.442497910335</c:v>
                </c:pt>
                <c:pt idx="52">
                  <c:v>43885.288361455154</c:v>
                </c:pt>
                <c:pt idx="53">
                  <c:v>43887.288210782688</c:v>
                </c:pt>
                <c:pt idx="54">
                  <c:v>45887.140094280665</c:v>
                </c:pt>
                <c:pt idx="55">
                  <c:v>45888.1400210461</c:v>
                </c:pt>
                <c:pt idx="56">
                  <c:v>47887.994292147152</c:v>
                </c:pt>
                <c:pt idx="57">
                  <c:v>47889.994146251061</c:v>
                </c:pt>
                <c:pt idx="58">
                  <c:v>49889.847174973584</c:v>
                </c:pt>
                <c:pt idx="59">
                  <c:v>49890.84710049694</c:v>
                </c:pt>
                <c:pt idx="60">
                  <c:v>51890.695258092295</c:v>
                </c:pt>
                <c:pt idx="61">
                  <c:v>51892.695102451529</c:v>
                </c:pt>
                <c:pt idx="62">
                  <c:v>54376.494368858461</c:v>
                </c:pt>
                <c:pt idx="63">
                  <c:v>54377.494284360771</c:v>
                </c:pt>
                <c:pt idx="64">
                  <c:v>56377.32528899383</c:v>
                </c:pt>
                <c:pt idx="65">
                  <c:v>56379.325119998466</c:v>
                </c:pt>
                <c:pt idx="66">
                  <c:v>58379.156124631525</c:v>
                </c:pt>
                <c:pt idx="67">
                  <c:v>58380.156040133828</c:v>
                </c:pt>
                <c:pt idx="68">
                  <c:v>60379.987044766895</c:v>
                </c:pt>
                <c:pt idx="69">
                  <c:v>60381.986875771523</c:v>
                </c:pt>
                <c:pt idx="70">
                  <c:v>62381.817880404575</c:v>
                </c:pt>
                <c:pt idx="71">
                  <c:v>62382.817795906893</c:v>
                </c:pt>
                <c:pt idx="72">
                  <c:v>64382.648800539944</c:v>
                </c:pt>
                <c:pt idx="73">
                  <c:v>64384.64863154458</c:v>
                </c:pt>
                <c:pt idx="74">
                  <c:v>66384.479636177624</c:v>
                </c:pt>
                <c:pt idx="75">
                  <c:v>66385.479551679935</c:v>
                </c:pt>
                <c:pt idx="76">
                  <c:v>68385.310556312979</c:v>
                </c:pt>
                <c:pt idx="77">
                  <c:v>68387.310387317615</c:v>
                </c:pt>
                <c:pt idx="78">
                  <c:v>70387.141391950659</c:v>
                </c:pt>
                <c:pt idx="79">
                  <c:v>70388.141307452985</c:v>
                </c:pt>
                <c:pt idx="80">
                  <c:v>72387.972312086029</c:v>
                </c:pt>
                <c:pt idx="81">
                  <c:v>72389.972143090665</c:v>
                </c:pt>
                <c:pt idx="82">
                  <c:v>74389.803147723709</c:v>
                </c:pt>
                <c:pt idx="83">
                  <c:v>74390.80306322602</c:v>
                </c:pt>
                <c:pt idx="84">
                  <c:v>76390.634067859064</c:v>
                </c:pt>
                <c:pt idx="85">
                  <c:v>76392.6338988637</c:v>
                </c:pt>
                <c:pt idx="86">
                  <c:v>78392.464903496744</c:v>
                </c:pt>
                <c:pt idx="87">
                  <c:v>78393.464818999055</c:v>
                </c:pt>
                <c:pt idx="88">
                  <c:v>80393.295823632099</c:v>
                </c:pt>
                <c:pt idx="89">
                  <c:v>80395.295654636735</c:v>
                </c:pt>
                <c:pt idx="90">
                  <c:v>82395.126659269794</c:v>
                </c:pt>
                <c:pt idx="91">
                  <c:v>82396.12657477209</c:v>
                </c:pt>
                <c:pt idx="92">
                  <c:v>84395.957579405149</c:v>
                </c:pt>
                <c:pt idx="93">
                  <c:v>84397.957410409785</c:v>
                </c:pt>
                <c:pt idx="94">
                  <c:v>86397.788415042829</c:v>
                </c:pt>
                <c:pt idx="95">
                  <c:v>86398.788330545125</c:v>
                </c:pt>
                <c:pt idx="96">
                  <c:v>88398.619335178184</c:v>
                </c:pt>
                <c:pt idx="97">
                  <c:v>88400.61916618282</c:v>
                </c:pt>
                <c:pt idx="98">
                  <c:v>90400.450170815864</c:v>
                </c:pt>
                <c:pt idx="99">
                  <c:v>90401.45008631816</c:v>
                </c:pt>
                <c:pt idx="100">
                  <c:v>92401.281090951219</c:v>
                </c:pt>
                <c:pt idx="101">
                  <c:v>92403.280921955855</c:v>
                </c:pt>
                <c:pt idx="102">
                  <c:v>93467.191016420635</c:v>
                </c:pt>
                <c:pt idx="103">
                  <c:v>94403.111926588928</c:v>
                </c:pt>
                <c:pt idx="104">
                  <c:v>94404.111842091224</c:v>
                </c:pt>
                <c:pt idx="105">
                  <c:v>96403.942846724269</c:v>
                </c:pt>
                <c:pt idx="106">
                  <c:v>96405.942677728919</c:v>
                </c:pt>
                <c:pt idx="107">
                  <c:v>98405.773682361949</c:v>
                </c:pt>
                <c:pt idx="108">
                  <c:v>98406.773597864274</c:v>
                </c:pt>
                <c:pt idx="109">
                  <c:v>100406.6046024973</c:v>
                </c:pt>
                <c:pt idx="110">
                  <c:v>100408.60443350195</c:v>
                </c:pt>
                <c:pt idx="111">
                  <c:v>102408.435438135</c:v>
                </c:pt>
                <c:pt idx="112">
                  <c:v>102409.43535363729</c:v>
                </c:pt>
                <c:pt idx="113">
                  <c:v>104466.26154190239</c:v>
                </c:pt>
                <c:pt idx="114">
                  <c:v>104784.23467163906</c:v>
                </c:pt>
                <c:pt idx="115">
                  <c:v>104786.2345026437</c:v>
                </c:pt>
                <c:pt idx="116">
                  <c:v>105585.8885723882</c:v>
                </c:pt>
                <c:pt idx="117">
                  <c:v>105685.88012261986</c:v>
                </c:pt>
                <c:pt idx="118">
                  <c:v>106485.81252447306</c:v>
                </c:pt>
                <c:pt idx="119">
                  <c:v>106487.81235547771</c:v>
                </c:pt>
                <c:pt idx="120">
                  <c:v>108587.63491034241</c:v>
                </c:pt>
                <c:pt idx="121">
                  <c:v>108588.63482584471</c:v>
                </c:pt>
                <c:pt idx="122">
                  <c:v>110688.45738070941</c:v>
                </c:pt>
                <c:pt idx="123">
                  <c:v>110690.45721171406</c:v>
                </c:pt>
                <c:pt idx="124">
                  <c:v>112690.28821634711</c:v>
                </c:pt>
                <c:pt idx="125">
                  <c:v>112691.28813184942</c:v>
                </c:pt>
                <c:pt idx="126">
                  <c:v>114691.11913648248</c:v>
                </c:pt>
                <c:pt idx="127">
                  <c:v>114693.1189674871</c:v>
                </c:pt>
                <c:pt idx="128">
                  <c:v>116692.94997212014</c:v>
                </c:pt>
                <c:pt idx="129">
                  <c:v>116693.94988762247</c:v>
                </c:pt>
                <c:pt idx="130">
                  <c:v>118693.7808922555</c:v>
                </c:pt>
                <c:pt idx="131">
                  <c:v>118695.78072326015</c:v>
                </c:pt>
                <c:pt idx="132">
                  <c:v>120695.61172789319</c:v>
                </c:pt>
                <c:pt idx="133">
                  <c:v>120696.61164339549</c:v>
                </c:pt>
                <c:pt idx="134">
                  <c:v>122696.44264802855</c:v>
                </c:pt>
                <c:pt idx="135">
                  <c:v>122698.44247903317</c:v>
                </c:pt>
                <c:pt idx="136">
                  <c:v>124698.27348366621</c:v>
                </c:pt>
                <c:pt idx="137">
                  <c:v>124699.27339916854</c:v>
                </c:pt>
                <c:pt idx="138">
                  <c:v>126699.10440380158</c:v>
                </c:pt>
                <c:pt idx="139">
                  <c:v>126701.1042348062</c:v>
                </c:pt>
                <c:pt idx="140">
                  <c:v>128700.93523943928</c:v>
                </c:pt>
                <c:pt idx="141">
                  <c:v>128701.9351549416</c:v>
                </c:pt>
                <c:pt idx="142">
                  <c:v>130701.76615957468</c:v>
                </c:pt>
                <c:pt idx="143">
                  <c:v>130703.7659905793</c:v>
                </c:pt>
                <c:pt idx="144">
                  <c:v>132703.59699521234</c:v>
                </c:pt>
                <c:pt idx="145">
                  <c:v>132704.5969107147</c:v>
                </c:pt>
                <c:pt idx="146">
                  <c:v>134704.42791534774</c:v>
                </c:pt>
                <c:pt idx="147">
                  <c:v>134706.42774635233</c:v>
                </c:pt>
                <c:pt idx="148">
                  <c:v>136706.25875098543</c:v>
                </c:pt>
                <c:pt idx="149">
                  <c:v>136707.25866648776</c:v>
                </c:pt>
                <c:pt idx="150">
                  <c:v>138707.0896711208</c:v>
                </c:pt>
                <c:pt idx="151">
                  <c:v>138709.0895021254</c:v>
                </c:pt>
                <c:pt idx="152">
                  <c:v>140708.92050675847</c:v>
                </c:pt>
                <c:pt idx="153">
                  <c:v>140709.92042226082</c:v>
                </c:pt>
                <c:pt idx="154">
                  <c:v>142709.75142689387</c:v>
                </c:pt>
                <c:pt idx="155">
                  <c:v>142711.75125789849</c:v>
                </c:pt>
                <c:pt idx="156">
                  <c:v>144711.58226253156</c:v>
                </c:pt>
                <c:pt idx="157">
                  <c:v>144712.58217803389</c:v>
                </c:pt>
                <c:pt idx="158">
                  <c:v>146712.41318266693</c:v>
                </c:pt>
                <c:pt idx="159">
                  <c:v>146714.41301367155</c:v>
                </c:pt>
                <c:pt idx="160">
                  <c:v>148714.24401830463</c:v>
                </c:pt>
                <c:pt idx="161">
                  <c:v>148715.24393380695</c:v>
                </c:pt>
                <c:pt idx="162">
                  <c:v>150715.07493844</c:v>
                </c:pt>
                <c:pt idx="163">
                  <c:v>150717.07476944465</c:v>
                </c:pt>
                <c:pt idx="164">
                  <c:v>152716.90577407769</c:v>
                </c:pt>
                <c:pt idx="165">
                  <c:v>152717.90568958002</c:v>
                </c:pt>
                <c:pt idx="166">
                  <c:v>154717.73669421306</c:v>
                </c:pt>
                <c:pt idx="167">
                  <c:v>154719.73652521765</c:v>
                </c:pt>
                <c:pt idx="168">
                  <c:v>156219.60977869251</c:v>
                </c:pt>
                <c:pt idx="169">
                  <c:v>156220.60969419483</c:v>
                </c:pt>
                <c:pt idx="170">
                  <c:v>157720.48294766963</c:v>
                </c:pt>
                <c:pt idx="171">
                  <c:v>157721.48286317196</c:v>
                </c:pt>
                <c:pt idx="172">
                  <c:v>158411.90842892605</c:v>
                </c:pt>
              </c:numCache>
            </c:numRef>
          </c:xVal>
          <c:yVal>
            <c:numRef>
              <c:f>Specification!$G$3:$G$175</c:f>
              <c:numCache>
                <c:formatCode>0.0000</c:formatCode>
                <c:ptCount val="173"/>
                <c:pt idx="0">
                  <c:v>-5.0296957369937445E-3</c:v>
                </c:pt>
                <c:pt idx="1">
                  <c:v>-5.0296957367663708E-3</c:v>
                </c:pt>
                <c:pt idx="2">
                  <c:v>2.6220250982532889E-2</c:v>
                </c:pt>
                <c:pt idx="3">
                  <c:v>0.11996977108788087</c:v>
                </c:pt>
                <c:pt idx="4" formatCode="0.00">
                  <c:v>0.27621843702831939</c:v>
                </c:pt>
                <c:pt idx="5" formatCode="0.00">
                  <c:v>0.49496582027495606</c:v>
                </c:pt>
                <c:pt idx="6" formatCode="0.00">
                  <c:v>0.77621149132210121</c:v>
                </c:pt>
                <c:pt idx="7" formatCode="0.00">
                  <c:v>1.1050053237458997</c:v>
                </c:pt>
                <c:pt idx="8" formatCode="0.00">
                  <c:v>1.5244465158007188</c:v>
                </c:pt>
                <c:pt idx="9" formatCode="0.00">
                  <c:v>4.0260528685880672</c:v>
                </c:pt>
                <c:pt idx="10" formatCode="0.00">
                  <c:v>4.0274726538937102</c:v>
                </c:pt>
                <c:pt idx="11" formatCode="0.00">
                  <c:v>7.718571773541953</c:v>
                </c:pt>
                <c:pt idx="12" formatCode="0.00">
                  <c:v>7.7225024233539443</c:v>
                </c:pt>
                <c:pt idx="13" formatCode="0.00">
                  <c:v>12.603602969454187</c:v>
                </c:pt>
                <c:pt idx="14" formatCode="0.00">
                  <c:v>12.606113817141704</c:v>
                </c:pt>
                <c:pt idx="15" formatCode="0.00">
                  <c:v>18.676633782663885</c:v>
                </c:pt>
                <c:pt idx="16" formatCode="0.00">
                  <c:v>18.682746489636884</c:v>
                </c:pt>
                <c:pt idx="17" formatCode="0.00">
                  <c:v>21.211104630026966</c:v>
                </c:pt>
                <c:pt idx="18" formatCode="0.00">
                  <c:v>21.297491447518041</c:v>
                </c:pt>
                <c:pt idx="19" formatCode="0.00">
                  <c:v>23.988029989676761</c:v>
                </c:pt>
                <c:pt idx="20" formatCode="0.00">
                  <c:v>23.994956797535451</c:v>
                </c:pt>
                <c:pt idx="21" formatCode="0.00">
                  <c:v>30.252514772062568</c:v>
                </c:pt>
                <c:pt idx="22" formatCode="0.00">
                  <c:v>30.256403987867088</c:v>
                </c:pt>
                <c:pt idx="23" formatCode="0.00">
                  <c:v>37.238514904745898</c:v>
                </c:pt>
                <c:pt idx="24" formatCode="0.00">
                  <c:v>37.247144938903148</c:v>
                </c:pt>
                <c:pt idx="25" formatCode="0.00">
                  <c:v>40.781935689006787</c:v>
                </c:pt>
                <c:pt idx="26" formatCode="0.00">
                  <c:v>40.901676695562855</c:v>
                </c:pt>
                <c:pt idx="27" formatCode="0.00">
                  <c:v>44.599128067895435</c:v>
                </c:pt>
                <c:pt idx="28" formatCode="0.00">
                  <c:v>44.608572143040874</c:v>
                </c:pt>
                <c:pt idx="29" formatCode="0.00">
                  <c:v>54.553009077035313</c:v>
                </c:pt>
                <c:pt idx="30" formatCode="0.00">
                  <c:v>54.558231347709807</c:v>
                </c:pt>
                <c:pt idx="31" formatCode="0.00">
                  <c:v>58.27513984739744</c:v>
                </c:pt>
                <c:pt idx="32" formatCode="0.00">
                  <c:v>58.28593503220327</c:v>
                </c:pt>
                <c:pt idx="33" formatCode="0.00">
                  <c:v>69.581461423051223</c:v>
                </c:pt>
                <c:pt idx="34" formatCode="0.00">
                  <c:v>69.587359228316927</c:v>
                </c:pt>
                <c:pt idx="35" formatCode="0.00">
                  <c:v>81.244520376498258</c:v>
                </c:pt>
                <c:pt idx="36" formatCode="0.00">
                  <c:v>81.257266400922163</c:v>
                </c:pt>
                <c:pt idx="37" formatCode="0.00">
                  <c:v>84.488132833139389</c:v>
                </c:pt>
                <c:pt idx="38" formatCode="0.00">
                  <c:v>94.503800995556958</c:v>
                </c:pt>
                <c:pt idx="39" formatCode="0.00">
                  <c:v>94.510674456616471</c:v>
                </c:pt>
                <c:pt idx="40" formatCode="0.00">
                  <c:v>108.75799801393805</c:v>
                </c:pt>
                <c:pt idx="41" formatCode="0.00">
                  <c:v>108.7727459812977</c:v>
                </c:pt>
                <c:pt idx="42" formatCode="0.00">
                  <c:v>124.02134938915697</c:v>
                </c:pt>
                <c:pt idx="43" formatCode="0.00">
                  <c:v>124.02922387995932</c:v>
                </c:pt>
                <c:pt idx="44" formatCode="0.00">
                  <c:v>140.27857587997642</c:v>
                </c:pt>
                <c:pt idx="45" formatCode="0.00">
                  <c:v>140.29532584458138</c:v>
                </c:pt>
                <c:pt idx="46" formatCode="0.00">
                  <c:v>157.54589517553177</c:v>
                </c:pt>
                <c:pt idx="47" formatCode="0.00">
                  <c:v>157.5547706335783</c:v>
                </c:pt>
                <c:pt idx="48" formatCode="0.00">
                  <c:v>175.80602556606755</c:v>
                </c:pt>
                <c:pt idx="49" formatCode="0.00">
                  <c:v>175.82477740190006</c:v>
                </c:pt>
                <c:pt idx="50" formatCode="0.00">
                  <c:v>195.07718614086116</c:v>
                </c:pt>
                <c:pt idx="51" formatCode="0.00">
                  <c:v>195.08706250264731</c:v>
                </c:pt>
                <c:pt idx="52" formatCode="0.00">
                  <c:v>215.34009284847343</c:v>
                </c:pt>
                <c:pt idx="53" formatCode="0.00">
                  <c:v>215.36084642753121</c:v>
                </c:pt>
                <c:pt idx="54" formatCode="0.00">
                  <c:v>236.614966051191</c:v>
                </c:pt>
                <c:pt idx="55" formatCode="0.00">
                  <c:v>236.62584325220814</c:v>
                </c:pt>
                <c:pt idx="56" formatCode="0.00">
                  <c:v>258.88051948474094</c:v>
                </c:pt>
                <c:pt idx="57" formatCode="0.00">
                  <c:v>258.90327467697352</c:v>
                </c:pt>
                <c:pt idx="58" formatCode="0.00">
                  <c:v>282.15897465519811</c:v>
                </c:pt>
                <c:pt idx="59" formatCode="0.00">
                  <c:v>282.17085262991895</c:v>
                </c:pt>
                <c:pt idx="60" formatCode="0.00">
                  <c:v>306.4270432163612</c:v>
                </c:pt>
                <c:pt idx="61" formatCode="0.00">
                  <c:v>306.4517998897536</c:v>
                </c:pt>
                <c:pt idx="62" formatCode="0.00">
                  <c:v>337.97145020451353</c:v>
                </c:pt>
                <c:pt idx="63" formatCode="0.00">
                  <c:v>337.98444975171151</c:v>
                </c:pt>
                <c:pt idx="64" formatCode="0.00">
                  <c:v>363.98354412733534</c:v>
                </c:pt>
                <c:pt idx="65" formatCode="0.00">
                  <c:v>364.00954322169855</c:v>
                </c:pt>
                <c:pt idx="66" formatCode="0.00">
                  <c:v>390.00863759734057</c:v>
                </c:pt>
                <c:pt idx="67" formatCode="0.00">
                  <c:v>390.02163714452035</c:v>
                </c:pt>
                <c:pt idx="68" formatCode="0.00">
                  <c:v>416.02073152014782</c:v>
                </c:pt>
                <c:pt idx="69" formatCode="0.00">
                  <c:v>416.04673061453286</c:v>
                </c:pt>
                <c:pt idx="70" formatCode="0.00">
                  <c:v>442.04582499014941</c:v>
                </c:pt>
                <c:pt idx="71" formatCode="0.00">
                  <c:v>442.05882453733648</c:v>
                </c:pt>
                <c:pt idx="72" formatCode="0.00">
                  <c:v>468.05791891296758</c:v>
                </c:pt>
                <c:pt idx="73" formatCode="0.00">
                  <c:v>468.08391800734171</c:v>
                </c:pt>
                <c:pt idx="74" formatCode="0.00">
                  <c:v>494.08301238296553</c:v>
                </c:pt>
                <c:pt idx="75" formatCode="0.00">
                  <c:v>494.0960119301526</c:v>
                </c:pt>
                <c:pt idx="76" formatCode="0.00">
                  <c:v>520.09510630578734</c:v>
                </c:pt>
                <c:pt idx="77" formatCode="0.00">
                  <c:v>520.12110540016147</c:v>
                </c:pt>
                <c:pt idx="78" formatCode="0.00">
                  <c:v>546.12019977578166</c:v>
                </c:pt>
                <c:pt idx="79" formatCode="0.00">
                  <c:v>546.13319932296872</c:v>
                </c:pt>
                <c:pt idx="80" formatCode="0.00">
                  <c:v>572.13229369859619</c:v>
                </c:pt>
                <c:pt idx="81" formatCode="0.00">
                  <c:v>572.15829279297031</c:v>
                </c:pt>
                <c:pt idx="82" formatCode="0.00">
                  <c:v>598.15738716859778</c:v>
                </c:pt>
                <c:pt idx="83" formatCode="0.00">
                  <c:v>598.17038671578484</c:v>
                </c:pt>
                <c:pt idx="84" formatCode="0.00">
                  <c:v>624.16948109141231</c:v>
                </c:pt>
                <c:pt idx="85" formatCode="0.00">
                  <c:v>624.19548018578644</c:v>
                </c:pt>
                <c:pt idx="86" formatCode="0.00">
                  <c:v>650.1945745614139</c:v>
                </c:pt>
                <c:pt idx="87" formatCode="0.00">
                  <c:v>650.20757410860097</c:v>
                </c:pt>
                <c:pt idx="88" formatCode="0.00">
                  <c:v>676.20666848422115</c:v>
                </c:pt>
                <c:pt idx="89" formatCode="0.00">
                  <c:v>676.23266757860256</c:v>
                </c:pt>
                <c:pt idx="90" formatCode="0.00">
                  <c:v>702.23176195423002</c:v>
                </c:pt>
                <c:pt idx="91" formatCode="0.00">
                  <c:v>702.24476150141709</c:v>
                </c:pt>
                <c:pt idx="92" formatCode="0.00">
                  <c:v>728.24385587703728</c:v>
                </c:pt>
                <c:pt idx="93" formatCode="0.00">
                  <c:v>728.26985497141141</c:v>
                </c:pt>
                <c:pt idx="94" formatCode="0.00">
                  <c:v>754.26894934704615</c:v>
                </c:pt>
                <c:pt idx="95" formatCode="0.00">
                  <c:v>754.28194889423321</c:v>
                </c:pt>
                <c:pt idx="96" formatCode="0.00">
                  <c:v>780.28104326986067</c:v>
                </c:pt>
                <c:pt idx="97" formatCode="0.00">
                  <c:v>780.30704236422753</c:v>
                </c:pt>
                <c:pt idx="98" formatCode="0.00">
                  <c:v>806.30613673986227</c:v>
                </c:pt>
                <c:pt idx="99" formatCode="0.00">
                  <c:v>806.31913628704206</c:v>
                </c:pt>
                <c:pt idx="100" formatCode="0.00">
                  <c:v>832.31823066266952</c:v>
                </c:pt>
                <c:pt idx="101" formatCode="0.00">
                  <c:v>832.34422975705093</c:v>
                </c:pt>
                <c:pt idx="102" formatCode="0.00">
                  <c:v>846.17574796487315</c:v>
                </c:pt>
                <c:pt idx="103" formatCode="0.00">
                  <c:v>858.34332413267111</c:v>
                </c:pt>
                <c:pt idx="104" formatCode="0.00">
                  <c:v>858.35632367985818</c:v>
                </c:pt>
                <c:pt idx="105" formatCode="0.00">
                  <c:v>884.35541805548564</c:v>
                </c:pt>
                <c:pt idx="106" formatCode="0.00">
                  <c:v>884.38141714986705</c:v>
                </c:pt>
                <c:pt idx="107" formatCode="0.00">
                  <c:v>910.38051152547996</c:v>
                </c:pt>
                <c:pt idx="108" formatCode="0.00">
                  <c:v>910.39351107268158</c:v>
                </c:pt>
                <c:pt idx="109" formatCode="0.00">
                  <c:v>936.39260544830177</c:v>
                </c:pt>
                <c:pt idx="110" formatCode="0.00">
                  <c:v>936.41860454268317</c:v>
                </c:pt>
                <c:pt idx="111" formatCode="0.00">
                  <c:v>962.41769891831791</c:v>
                </c:pt>
                <c:pt idx="112" formatCode="0.00">
                  <c:v>962.43069846549042</c:v>
                </c:pt>
                <c:pt idx="113" formatCode="0.00">
                  <c:v>989.17076703083876</c:v>
                </c:pt>
                <c:pt idx="114" formatCode="0.00">
                  <c:v>993.30462303655077</c:v>
                </c:pt>
                <c:pt idx="115" formatCode="0.00">
                  <c:v>993.33062213091762</c:v>
                </c:pt>
                <c:pt idx="116" formatCode="0.00">
                  <c:v>1003.7278309136673</c:v>
                </c:pt>
                <c:pt idx="117" formatCode="0.00">
                  <c:v>1005.0277856324246</c:v>
                </c:pt>
                <c:pt idx="118" formatCode="0.00">
                  <c:v>1015.4274233826873</c:v>
                </c:pt>
                <c:pt idx="119" formatCode="0.00">
                  <c:v>1015.4534224770759</c:v>
                </c:pt>
                <c:pt idx="120" formatCode="0.00">
                  <c:v>1042.7524715714753</c:v>
                </c:pt>
                <c:pt idx="121" formatCode="0.00">
                  <c:v>1042.7654711186624</c:v>
                </c:pt>
                <c:pt idx="122" formatCode="0.00">
                  <c:v>1070.0645202130909</c:v>
                </c:pt>
                <c:pt idx="123" formatCode="0.00">
                  <c:v>1070.0905193074504</c:v>
                </c:pt>
                <c:pt idx="124" formatCode="0.00">
                  <c:v>1096.0896136830706</c:v>
                </c:pt>
                <c:pt idx="125" formatCode="0.00">
                  <c:v>1096.102613230265</c:v>
                </c:pt>
                <c:pt idx="126" formatCode="0.00">
                  <c:v>1122.1017076058852</c:v>
                </c:pt>
                <c:pt idx="127" formatCode="0.00">
                  <c:v>1122.1277067002738</c:v>
                </c:pt>
                <c:pt idx="128" formatCode="0.00">
                  <c:v>1148.126801075894</c:v>
                </c:pt>
                <c:pt idx="129" formatCode="0.00">
                  <c:v>1148.1398006230665</c:v>
                </c:pt>
                <c:pt idx="130" formatCode="0.00">
                  <c:v>1174.1388949987086</c:v>
                </c:pt>
                <c:pt idx="131" formatCode="0.00">
                  <c:v>1174.1648940930827</c:v>
                </c:pt>
                <c:pt idx="132" formatCode="0.00">
                  <c:v>1200.1639884686956</c:v>
                </c:pt>
                <c:pt idx="133" formatCode="0.00">
                  <c:v>1200.1769880159045</c:v>
                </c:pt>
                <c:pt idx="134" formatCode="0.00">
                  <c:v>1226.1760823915247</c:v>
                </c:pt>
                <c:pt idx="135" formatCode="0.00">
                  <c:v>1226.2020814858988</c:v>
                </c:pt>
                <c:pt idx="136" formatCode="0.00">
                  <c:v>1252.201175861519</c:v>
                </c:pt>
                <c:pt idx="137" formatCode="0.00">
                  <c:v>1252.2141754086915</c:v>
                </c:pt>
                <c:pt idx="138" formatCode="0.00">
                  <c:v>1278.2132697843408</c:v>
                </c:pt>
                <c:pt idx="139" formatCode="0.00">
                  <c:v>1278.2392688787149</c:v>
                </c:pt>
                <c:pt idx="140" formatCode="0.00">
                  <c:v>1304.2383632543424</c:v>
                </c:pt>
                <c:pt idx="141" formatCode="0.00">
                  <c:v>1304.2513628015295</c:v>
                </c:pt>
                <c:pt idx="142" formatCode="0.00">
                  <c:v>1330.2504571771424</c:v>
                </c:pt>
                <c:pt idx="143" formatCode="0.00">
                  <c:v>1330.2764562715092</c:v>
                </c:pt>
                <c:pt idx="144" formatCode="0.00">
                  <c:v>1356.2755506471585</c:v>
                </c:pt>
                <c:pt idx="145" formatCode="0.00">
                  <c:v>1356.2885501943383</c:v>
                </c:pt>
                <c:pt idx="146" formatCode="0.00">
                  <c:v>1382.2876445699658</c:v>
                </c:pt>
                <c:pt idx="147" formatCode="0.00">
                  <c:v>1382.3136436643399</c:v>
                </c:pt>
                <c:pt idx="148" formatCode="0.00">
                  <c:v>1408.3127380399674</c:v>
                </c:pt>
                <c:pt idx="149" formatCode="0.00">
                  <c:v>1408.3257375871472</c:v>
                </c:pt>
                <c:pt idx="150" formatCode="0.00">
                  <c:v>1434.3248319627746</c:v>
                </c:pt>
                <c:pt idx="151" formatCode="0.00">
                  <c:v>1434.3508310571779</c:v>
                </c:pt>
                <c:pt idx="152" formatCode="0.00">
                  <c:v>1460.3499254327908</c:v>
                </c:pt>
                <c:pt idx="153" formatCode="0.00">
                  <c:v>1460.3629249799851</c:v>
                </c:pt>
                <c:pt idx="154" formatCode="0.00">
                  <c:v>1486.362019355598</c:v>
                </c:pt>
                <c:pt idx="155" formatCode="0.00">
                  <c:v>1486.3880184499722</c:v>
                </c:pt>
                <c:pt idx="156" formatCode="0.00">
                  <c:v>1512.3871128255996</c:v>
                </c:pt>
                <c:pt idx="157" formatCode="0.00">
                  <c:v>1512.4001123727794</c:v>
                </c:pt>
                <c:pt idx="158" formatCode="0.00">
                  <c:v>1538.3992067484069</c:v>
                </c:pt>
                <c:pt idx="159" formatCode="0.00">
                  <c:v>1538.4252058427955</c:v>
                </c:pt>
                <c:pt idx="160" formatCode="0.00">
                  <c:v>1564.4243002184085</c:v>
                </c:pt>
                <c:pt idx="161" formatCode="0.00">
                  <c:v>1564.4372997656174</c:v>
                </c:pt>
                <c:pt idx="162" formatCode="0.00">
                  <c:v>1590.4363941412157</c:v>
                </c:pt>
                <c:pt idx="163" formatCode="0.00">
                  <c:v>1590.4623932356044</c:v>
                </c:pt>
                <c:pt idx="164" formatCode="0.00">
                  <c:v>1616.4614876112464</c:v>
                </c:pt>
                <c:pt idx="165" formatCode="0.00">
                  <c:v>1616.4744871584408</c:v>
                </c:pt>
                <c:pt idx="166" formatCode="0.00">
                  <c:v>1642.4735815340391</c:v>
                </c:pt>
                <c:pt idx="167" formatCode="0.00">
                  <c:v>1642.4995806284278</c:v>
                </c:pt>
                <c:pt idx="168" formatCode="0.00">
                  <c:v>1661.9989014101302</c:v>
                </c:pt>
                <c:pt idx="169" formatCode="0.00">
                  <c:v>1662.0119009573245</c:v>
                </c:pt>
                <c:pt idx="170" formatCode="0.00">
                  <c:v>1681.511221739027</c:v>
                </c:pt>
                <c:pt idx="171" formatCode="0.00">
                  <c:v>1681.5242212862504</c:v>
                </c:pt>
                <c:pt idx="172" formatCode="0.00">
                  <c:v>1690.3229214192979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C0-1340-8B81-19B3A925C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17984"/>
        <c:axId val="159028352"/>
      </c:scatterChart>
      <c:valAx>
        <c:axId val="159017984"/>
        <c:scaling>
          <c:orientation val="minMax"/>
          <c:max val="16000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ISCS X (mm)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159028352"/>
        <c:crossesAt val="-500"/>
        <c:crossBetween val="midCat"/>
        <c:majorUnit val="20000"/>
        <c:minorUnit val="1000"/>
      </c:valAx>
      <c:valAx>
        <c:axId val="159028352"/>
        <c:scaling>
          <c:orientation val="minMax"/>
          <c:min val="-50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ISCS Y,Z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159017984"/>
        <c:crosses val="autoZero"/>
        <c:crossBetween val="midCat"/>
        <c:majorUnit val="250"/>
        <c:minorUnit val="5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73752385047433"/>
          <c:y val="9.7708119818356046E-2"/>
          <c:w val="0.19654575260003762"/>
          <c:h val="0.2183403741199016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0152374297923"/>
          <c:y val="2.349739615881348E-2"/>
          <c:w val="0.84513224584128344"/>
          <c:h val="0.87871416072990871"/>
        </c:manualLayout>
      </c:layout>
      <c:scatterChart>
        <c:scatterStyle val="lineMarker"/>
        <c:varyColors val="0"/>
        <c:ser>
          <c:idx val="0"/>
          <c:order val="0"/>
          <c:tx>
            <c:v>McStas zy plane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Specification!$K$3:$K$175</c:f>
              <c:numCache>
                <c:formatCode>0.00000</c:formatCode>
                <c:ptCount val="173"/>
                <c:pt idx="0">
                  <c:v>1.9042399999999999</c:v>
                </c:pt>
                <c:pt idx="1">
                  <c:v>2.4042209615320855</c:v>
                </c:pt>
                <c:pt idx="2">
                  <c:v>2.9042021886885934</c:v>
                </c:pt>
                <c:pt idx="3">
                  <c:v>3.4041839046150124</c:v>
                </c:pt>
                <c:pt idx="4">
                  <c:v>3.9041660526726334</c:v>
                </c:pt>
                <c:pt idx="5">
                  <c:v>4.4041485762225978</c:v>
                </c:pt>
                <c:pt idx="6">
                  <c:v>4.9041314186259068</c:v>
                </c:pt>
                <c:pt idx="7">
                  <c:v>5.3841151945570784</c:v>
                </c:pt>
                <c:pt idx="8">
                  <c:v>5.9020978998622944</c:v>
                </c:pt>
                <c:pt idx="9">
                  <c:v>8.0828893130008641</c:v>
                </c:pt>
                <c:pt idx="10">
                  <c:v>8.083889280006618</c:v>
                </c:pt>
                <c:pt idx="11">
                  <c:v>10.264678828997724</c:v>
                </c:pt>
                <c:pt idx="12">
                  <c:v>10.266678759141216</c:v>
                </c:pt>
                <c:pt idx="13">
                  <c:v>12.447461735590025</c:v>
                </c:pt>
                <c:pt idx="14">
                  <c:v>12.448461696569689</c:v>
                </c:pt>
                <c:pt idx="15">
                  <c:v>14.629233398096263</c:v>
                </c:pt>
                <c:pt idx="16">
                  <c:v>14.631233307555275</c:v>
                </c:pt>
                <c:pt idx="17">
                  <c:v>15.431550000000001</c:v>
                </c:pt>
                <c:pt idx="18">
                  <c:v>15.458048723885605</c:v>
                </c:pt>
                <c:pt idx="19">
                  <c:v>16.258008936470844</c:v>
                </c:pt>
                <c:pt idx="20">
                  <c:v>16.260008833789954</c:v>
                </c:pt>
                <c:pt idx="21">
                  <c:v>17.96201586455571</c:v>
                </c:pt>
                <c:pt idx="22">
                  <c:v>17.963015805579317</c:v>
                </c:pt>
                <c:pt idx="23">
                  <c:v>19.665008724162927</c:v>
                </c:pt>
                <c:pt idx="24">
                  <c:v>19.667008588308153</c:v>
                </c:pt>
                <c:pt idx="25">
                  <c:v>20.46725</c:v>
                </c:pt>
                <c:pt idx="26">
                  <c:v>20.49374807424331</c:v>
                </c:pt>
                <c:pt idx="27">
                  <c:v>21.293687920643166</c:v>
                </c:pt>
                <c:pt idx="28">
                  <c:v>21.295687765216861</c:v>
                </c:pt>
                <c:pt idx="29">
                  <c:v>23.295519116132731</c:v>
                </c:pt>
                <c:pt idx="30">
                  <c:v>23.296519024746431</c:v>
                </c:pt>
                <c:pt idx="31">
                  <c:v>23.996453247507809</c:v>
                </c:pt>
                <c:pt idx="32">
                  <c:v>23.998453054291542</c:v>
                </c:pt>
                <c:pt idx="33">
                  <c:v>25.998244163344037</c:v>
                </c:pt>
                <c:pt idx="34">
                  <c:v>25.99924405061148</c:v>
                </c:pt>
                <c:pt idx="35">
                  <c:v>27.899014101969378</c:v>
                </c:pt>
                <c:pt idx="36">
                  <c:v>27.901013842504042</c:v>
                </c:pt>
                <c:pt idx="37">
                  <c:v>28.402947523996573</c:v>
                </c:pt>
                <c:pt idx="38">
                  <c:v>29.900757866304225</c:v>
                </c:pt>
                <c:pt idx="39">
                  <c:v>29.901757747344199</c:v>
                </c:pt>
                <c:pt idx="40">
                  <c:v>31.901539450498735</c:v>
                </c:pt>
                <c:pt idx="41">
                  <c:v>31.903539250927178</c:v>
                </c:pt>
                <c:pt idx="42">
                  <c:v>33.903357496700643</c:v>
                </c:pt>
                <c:pt idx="43">
                  <c:v>33.904357414274102</c:v>
                </c:pt>
                <c:pt idx="44">
                  <c:v>35.904208555248545</c:v>
                </c:pt>
                <c:pt idx="45">
                  <c:v>35.906208421483811</c:v>
                </c:pt>
                <c:pt idx="46">
                  <c:v>37.906088843041566</c:v>
                </c:pt>
                <c:pt idx="47">
                  <c:v>37.907088789888284</c:v>
                </c:pt>
                <c:pt idx="48">
                  <c:v>39.906994848091657</c:v>
                </c:pt>
                <c:pt idx="49">
                  <c:v>39.908994765613009</c:v>
                </c:pt>
                <c:pt idx="50">
                  <c:v>41.908922842089133</c:v>
                </c:pt>
                <c:pt idx="51">
                  <c:v>41.909922810948615</c:v>
                </c:pt>
                <c:pt idx="52">
                  <c:v>43.909869265279085</c:v>
                </c:pt>
                <c:pt idx="53">
                  <c:v>43.911869219565325</c:v>
                </c:pt>
                <c:pt idx="54">
                  <c:v>45.911830429660853</c:v>
                </c:pt>
                <c:pt idx="55">
                  <c:v>45.912830413272417</c:v>
                </c:pt>
                <c:pt idx="56">
                  <c:v>47.912802742272866</c:v>
                </c:pt>
                <c:pt idx="57">
                  <c:v>47.914802718802463</c:v>
                </c:pt>
                <c:pt idx="58">
                  <c:v>49.914782540940941</c:v>
                </c:pt>
                <c:pt idx="59">
                  <c:v>49.915782532043764</c:v>
                </c:pt>
                <c:pt idx="60">
                  <c:v>51.915766214057363</c:v>
                </c:pt>
                <c:pt idx="61">
                  <c:v>51.917766198308641</c:v>
                </c:pt>
                <c:pt idx="62">
                  <c:v>54.401745946597657</c:v>
                </c:pt>
                <c:pt idx="63" formatCode="0.000">
                  <c:v>54.402745937467266</c:v>
                </c:pt>
                <c:pt idx="64" formatCode="0.000">
                  <c:v>56.402727676683483</c:v>
                </c:pt>
                <c:pt idx="65" formatCode="0.000">
                  <c:v>56.404727658422701</c:v>
                </c:pt>
                <c:pt idx="66" formatCode="0.000">
                  <c:v>58.404709397638918</c:v>
                </c:pt>
                <c:pt idx="67" formatCode="0.000">
                  <c:v>58.405709388508527</c:v>
                </c:pt>
                <c:pt idx="68" formatCode="0.000">
                  <c:v>60.405691127724744</c:v>
                </c:pt>
                <c:pt idx="69" formatCode="0.000">
                  <c:v>60.407691109463961</c:v>
                </c:pt>
                <c:pt idx="70" formatCode="0.000">
                  <c:v>62.407672848680178</c:v>
                </c:pt>
                <c:pt idx="71" formatCode="0.000">
                  <c:v>62.408672839549787</c:v>
                </c:pt>
                <c:pt idx="72" formatCode="0.000">
                  <c:v>64.408654578766004</c:v>
                </c:pt>
                <c:pt idx="73" formatCode="0.000">
                  <c:v>64.410654560505222</c:v>
                </c:pt>
                <c:pt idx="74" formatCode="0.000">
                  <c:v>66.410636299721432</c:v>
                </c:pt>
                <c:pt idx="75" formatCode="0.000">
                  <c:v>66.411636290591034</c:v>
                </c:pt>
                <c:pt idx="76" formatCode="0.000">
                  <c:v>68.411618029807244</c:v>
                </c:pt>
                <c:pt idx="77" formatCode="0.000">
                  <c:v>68.413618011546461</c:v>
                </c:pt>
                <c:pt idx="78" formatCode="0.000">
                  <c:v>70.413599750762671</c:v>
                </c:pt>
                <c:pt idx="79" formatCode="0.000">
                  <c:v>70.414599741632273</c:v>
                </c:pt>
                <c:pt idx="80" formatCode="0.000">
                  <c:v>72.414581480848483</c:v>
                </c:pt>
                <c:pt idx="81" formatCode="0.000">
                  <c:v>72.4165814625877</c:v>
                </c:pt>
                <c:pt idx="82" formatCode="0.000">
                  <c:v>74.41656320180391</c:v>
                </c:pt>
                <c:pt idx="83" formatCode="0.000">
                  <c:v>74.417563192673512</c:v>
                </c:pt>
                <c:pt idx="84" formatCode="0.000">
                  <c:v>76.417544931889722</c:v>
                </c:pt>
                <c:pt idx="85" formatCode="0.000">
                  <c:v>76.41954491362894</c:v>
                </c:pt>
                <c:pt idx="86" formatCode="0.000">
                  <c:v>78.41952665284515</c:v>
                </c:pt>
                <c:pt idx="87" formatCode="0.000">
                  <c:v>78.420526643714751</c:v>
                </c:pt>
                <c:pt idx="88" formatCode="0.000">
                  <c:v>80.420508382930961</c:v>
                </c:pt>
                <c:pt idx="89" formatCode="0.000">
                  <c:v>80.422508364670179</c:v>
                </c:pt>
                <c:pt idx="90" formatCode="0.000">
                  <c:v>82.422490103886389</c:v>
                </c:pt>
                <c:pt idx="91" formatCode="0.000">
                  <c:v>82.423490094755991</c:v>
                </c:pt>
                <c:pt idx="92" formatCode="0.000">
                  <c:v>84.423471833972201</c:v>
                </c:pt>
                <c:pt idx="93" formatCode="0.000">
                  <c:v>84.425471815711418</c:v>
                </c:pt>
                <c:pt idx="94" formatCode="0.000">
                  <c:v>86.425453554927628</c:v>
                </c:pt>
                <c:pt idx="95" formatCode="0.000">
                  <c:v>86.42645354579723</c:v>
                </c:pt>
                <c:pt idx="96" formatCode="0.000">
                  <c:v>88.42643528501344</c:v>
                </c:pt>
                <c:pt idx="97" formatCode="0.000">
                  <c:v>88.428435266752658</c:v>
                </c:pt>
                <c:pt idx="98" formatCode="0.000">
                  <c:v>90.428417005968868</c:v>
                </c:pt>
                <c:pt idx="99" formatCode="0.000">
                  <c:v>90.429416996838469</c:v>
                </c:pt>
                <c:pt idx="100" formatCode="0.000">
                  <c:v>92.429398736054679</c:v>
                </c:pt>
                <c:pt idx="101" formatCode="0.000">
                  <c:v>92.431398717793897</c:v>
                </c:pt>
                <c:pt idx="102" formatCode="0.000">
                  <c:v>93.495389003056928</c:v>
                </c:pt>
                <c:pt idx="103" formatCode="0.000">
                  <c:v>94.431380457010121</c:v>
                </c:pt>
                <c:pt idx="104" formatCode="0.000">
                  <c:v>94.432380447879723</c:v>
                </c:pt>
                <c:pt idx="105" formatCode="0.000">
                  <c:v>96.432362187095933</c:v>
                </c:pt>
                <c:pt idx="106" formatCode="0.000">
                  <c:v>96.43436216883515</c:v>
                </c:pt>
                <c:pt idx="107" formatCode="0.000">
                  <c:v>98.43434390805136</c:v>
                </c:pt>
                <c:pt idx="108" formatCode="0.000">
                  <c:v>98.435343898920962</c:v>
                </c:pt>
                <c:pt idx="109" formatCode="0.000">
                  <c:v>100.43532563813717</c:v>
                </c:pt>
                <c:pt idx="110" formatCode="0.000">
                  <c:v>100.43732561987639</c:v>
                </c:pt>
                <c:pt idx="111" formatCode="0.000">
                  <c:v>102.4373073590926</c:v>
                </c:pt>
                <c:pt idx="112" formatCode="0.000">
                  <c:v>102.4383073499622</c:v>
                </c:pt>
                <c:pt idx="113" formatCode="0.000">
                  <c:v>104.49528856874608</c:v>
                </c:pt>
                <c:pt idx="114" formatCode="0.000">
                  <c:v>104.81328566528146</c:v>
                </c:pt>
                <c:pt idx="115" formatCode="0.000">
                  <c:v>104.81528564702067</c:v>
                </c:pt>
                <c:pt idx="116" formatCode="0.000">
                  <c:v>105.61500000000001</c:v>
                </c:pt>
                <c:pt idx="117" formatCode="0.000">
                  <c:v>105.71499908696082</c:v>
                </c:pt>
                <c:pt idx="118" formatCode="0.000">
                  <c:v>106.5149917826473</c:v>
                </c:pt>
                <c:pt idx="119" formatCode="0.000">
                  <c:v>106.51699176438652</c:v>
                </c:pt>
                <c:pt idx="120" formatCode="0.000">
                  <c:v>108.61697259056355</c:v>
                </c:pt>
                <c:pt idx="121" formatCode="0.000">
                  <c:v>108.61797258143315</c:v>
                </c:pt>
                <c:pt idx="122" formatCode="0.000">
                  <c:v>110.71795340761018</c:v>
                </c:pt>
                <c:pt idx="123" formatCode="0.000">
                  <c:v>110.7199533893494</c:v>
                </c:pt>
                <c:pt idx="124" formatCode="0.000">
                  <c:v>112.71993512856561</c:v>
                </c:pt>
                <c:pt idx="125" formatCode="0.000">
                  <c:v>112.72093511943521</c:v>
                </c:pt>
                <c:pt idx="126" formatCode="0.000">
                  <c:v>114.72091685865142</c:v>
                </c:pt>
                <c:pt idx="127" formatCode="0.000">
                  <c:v>114.72291684039064</c:v>
                </c:pt>
                <c:pt idx="128" formatCode="0.000">
                  <c:v>116.72289857960685</c:v>
                </c:pt>
                <c:pt idx="129" formatCode="0.000">
                  <c:v>116.72389857047645</c:v>
                </c:pt>
                <c:pt idx="130" formatCode="0.000">
                  <c:v>118.72388030969266</c:v>
                </c:pt>
                <c:pt idx="131" formatCode="0.000">
                  <c:v>118.72588029143188</c:v>
                </c:pt>
                <c:pt idx="132" formatCode="0.000">
                  <c:v>120.72586203064809</c:v>
                </c:pt>
                <c:pt idx="133" formatCode="0.000">
                  <c:v>120.72686202151769</c:v>
                </c:pt>
                <c:pt idx="134" formatCode="0.000">
                  <c:v>122.7268437607339</c:v>
                </c:pt>
                <c:pt idx="135" formatCode="0.000">
                  <c:v>122.72884374247312</c:v>
                </c:pt>
                <c:pt idx="136" formatCode="0.000">
                  <c:v>124.72882548168933</c:v>
                </c:pt>
                <c:pt idx="137" formatCode="0.000">
                  <c:v>124.72982547255893</c:v>
                </c:pt>
                <c:pt idx="138" formatCode="0.000">
                  <c:v>126.72980721177514</c:v>
                </c:pt>
                <c:pt idx="139" formatCode="0.000">
                  <c:v>126.73180719351436</c:v>
                </c:pt>
                <c:pt idx="140" formatCode="0.000">
                  <c:v>128.73178893273058</c:v>
                </c:pt>
                <c:pt idx="141" formatCode="0.000">
                  <c:v>128.7327889236002</c:v>
                </c:pt>
                <c:pt idx="142" formatCode="0.000">
                  <c:v>130.73277066281642</c:v>
                </c:pt>
                <c:pt idx="143" formatCode="0.000">
                  <c:v>130.73477064455562</c:v>
                </c:pt>
                <c:pt idx="144" formatCode="0.000">
                  <c:v>132.73475238377185</c:v>
                </c:pt>
                <c:pt idx="145" formatCode="0.000">
                  <c:v>132.73575237464146</c:v>
                </c:pt>
                <c:pt idx="146" formatCode="0.000">
                  <c:v>134.73573411385769</c:v>
                </c:pt>
                <c:pt idx="147" formatCode="0.000">
                  <c:v>134.73773409559689</c:v>
                </c:pt>
                <c:pt idx="148" formatCode="0.000">
                  <c:v>136.73771583481312</c:v>
                </c:pt>
                <c:pt idx="149" formatCode="0.000">
                  <c:v>136.73871582568273</c:v>
                </c:pt>
                <c:pt idx="150" formatCode="0.000">
                  <c:v>138.73869756489896</c:v>
                </c:pt>
                <c:pt idx="151" formatCode="0.000">
                  <c:v>138.74069754663816</c:v>
                </c:pt>
                <c:pt idx="152" formatCode="0.000">
                  <c:v>140.74067928585438</c:v>
                </c:pt>
                <c:pt idx="153" formatCode="0.000">
                  <c:v>140.741679276724</c:v>
                </c:pt>
                <c:pt idx="154" formatCode="0.000">
                  <c:v>142.74166101594022</c:v>
                </c:pt>
                <c:pt idx="155" formatCode="0.000">
                  <c:v>142.74366099767943</c:v>
                </c:pt>
                <c:pt idx="156" formatCode="0.000">
                  <c:v>144.74364273689565</c:v>
                </c:pt>
                <c:pt idx="157" formatCode="0.000">
                  <c:v>144.74464272776527</c:v>
                </c:pt>
                <c:pt idx="158" formatCode="0.000">
                  <c:v>146.74462446698149</c:v>
                </c:pt>
                <c:pt idx="159" formatCode="0.000">
                  <c:v>146.74662444872069</c:v>
                </c:pt>
                <c:pt idx="160" formatCode="0.000">
                  <c:v>148.74660618793692</c:v>
                </c:pt>
                <c:pt idx="161" formatCode="0.000">
                  <c:v>148.74760617880654</c:v>
                </c:pt>
                <c:pt idx="162" formatCode="0.000">
                  <c:v>150.74758791802276</c:v>
                </c:pt>
                <c:pt idx="163" formatCode="0.000">
                  <c:v>150.74958789976196</c:v>
                </c:pt>
                <c:pt idx="164" formatCode="0.000">
                  <c:v>152.74956963897819</c:v>
                </c:pt>
                <c:pt idx="165" formatCode="0.000">
                  <c:v>152.7505696298478</c:v>
                </c:pt>
                <c:pt idx="166" formatCode="0.000">
                  <c:v>154.75055136906403</c:v>
                </c:pt>
                <c:pt idx="167" formatCode="0.000">
                  <c:v>154.75255135080323</c:v>
                </c:pt>
                <c:pt idx="168" formatCode="0.000">
                  <c:v>156.25253765521541</c:v>
                </c:pt>
                <c:pt idx="169" formatCode="0.000">
                  <c:v>156.25353764608502</c:v>
                </c:pt>
                <c:pt idx="170" formatCode="0.000">
                  <c:v>157.7535239504972</c:v>
                </c:pt>
                <c:pt idx="171" formatCode="0.000">
                  <c:v>157.75452394136681</c:v>
                </c:pt>
                <c:pt idx="172" formatCode="0.000">
                  <c:v>158.44499999999999</c:v>
                </c:pt>
              </c:numCache>
            </c:numRef>
          </c:xVal>
          <c:yVal>
            <c:numRef>
              <c:f>Specification!$I$3:$I$175</c:f>
              <c:numCache>
                <c:formatCode>0.00000</c:formatCode>
                <c:ptCount val="173"/>
                <c:pt idx="0">
                  <c:v>1.6299999999999999E-2</c:v>
                </c:pt>
                <c:pt idx="1">
                  <c:v>1.1936732250813032E-2</c:v>
                </c:pt>
                <c:pt idx="2">
                  <c:v>7.6047133202234831E-3</c:v>
                </c:pt>
                <c:pt idx="3">
                  <c:v>3.3351920774725517E-3</c:v>
                </c:pt>
                <c:pt idx="4">
                  <c:v>-8.7183141072849201E-4</c:v>
                </c:pt>
                <c:pt idx="5">
                  <c:v>-5.0163570786449056E-3</c:v>
                </c:pt>
                <c:pt idx="6">
                  <c:v>-9.0983848615184774E-3</c:v>
                </c:pt>
                <c:pt idx="7">
                  <c:v>-1.2958333463416986E-2</c:v>
                </c:pt>
                <c:pt idx="8">
                  <c:v>-1.7059242886817316E-2</c:v>
                </c:pt>
                <c:pt idx="9">
                  <c:v>-3.3589019618580782E-2</c:v>
                </c:pt>
                <c:pt idx="10">
                  <c:v>-3.3596326359067001E-2</c:v>
                </c:pt>
                <c:pt idx="11">
                  <c:v>-4.8936548761837499E-2</c:v>
                </c:pt>
                <c:pt idx="12">
                  <c:v>-4.8950071088305194E-2</c:v>
                </c:pt>
                <c:pt idx="13">
                  <c:v>-6.3100189393582723E-2</c:v>
                </c:pt>
                <c:pt idx="14">
                  <c:v>-6.3106404977551614E-2</c:v>
                </c:pt>
                <c:pt idx="15">
                  <c:v>-7.6066960177479312E-2</c:v>
                </c:pt>
                <c:pt idx="16">
                  <c:v>-7.6078300183186801E-2</c:v>
                </c:pt>
                <c:pt idx="17">
                  <c:v>-8.0534103732703186E-2</c:v>
                </c:pt>
                <c:pt idx="18">
                  <c:v>-8.0678964485714377E-2</c:v>
                </c:pt>
                <c:pt idx="19">
                  <c:v>-8.4969470505290939E-2</c:v>
                </c:pt>
                <c:pt idx="20">
                  <c:v>-8.497999627316985E-2</c:v>
                </c:pt>
                <c:pt idx="21">
                  <c:v>-9.3575390357368879E-2</c:v>
                </c:pt>
                <c:pt idx="22">
                  <c:v>-9.3580227346582695E-2</c:v>
                </c:pt>
                <c:pt idx="23">
                  <c:v>-0.10145091774347853</c:v>
                </c:pt>
                <c:pt idx="24">
                  <c:v>-0.10145973993070012</c:v>
                </c:pt>
                <c:pt idx="25">
                  <c:v>-0.10490841558199551</c:v>
                </c:pt>
                <c:pt idx="26">
                  <c:v>-0.10501991520652862</c:v>
                </c:pt>
                <c:pt idx="27">
                  <c:v>-0.10830329232130509</c:v>
                </c:pt>
                <c:pt idx="28">
                  <c:v>-0.1083113002657398</c:v>
                </c:pt>
                <c:pt idx="29">
                  <c:v>-0.11581874846689805</c:v>
                </c:pt>
                <c:pt idx="30">
                  <c:v>-0.115822252067646</c:v>
                </c:pt>
                <c:pt idx="31">
                  <c:v>-0.11821343545834673</c:v>
                </c:pt>
                <c:pt idx="32">
                  <c:v>-0.11822009191188945</c:v>
                </c:pt>
                <c:pt idx="33">
                  <c:v>-0.12437604802346296</c:v>
                </c:pt>
                <c:pt idx="34">
                  <c:v>-0.1243788758776099</c:v>
                </c:pt>
                <c:pt idx="35">
                  <c:v>-0.12930031291459365</c:v>
                </c:pt>
                <c:pt idx="36">
                  <c:v>-0.12930501787608578</c:v>
                </c:pt>
                <c:pt idx="37">
                  <c:v>-0.13045433729580055</c:v>
                </c:pt>
                <c:pt idx="38">
                  <c:v>-0.13350948058585735</c:v>
                </c:pt>
                <c:pt idx="39">
                  <c:v>-0.13351133269271437</c:v>
                </c:pt>
                <c:pt idx="40">
                  <c:v>-0.13671529715411587</c:v>
                </c:pt>
                <c:pt idx="41">
                  <c:v>-0.1367180006191244</c:v>
                </c:pt>
                <c:pt idx="42">
                  <c:v>-0.13892096600547824</c:v>
                </c:pt>
                <c:pt idx="43">
                  <c:v>-0.13892181736329129</c:v>
                </c:pt>
                <c:pt idx="44">
                  <c:v>-0.14012428312266376</c:v>
                </c:pt>
                <c:pt idx="45">
                  <c:v>-0.14012498508848117</c:v>
                </c:pt>
                <c:pt idx="46">
                  <c:v>-0.14032645091995768</c:v>
                </c:pt>
                <c:pt idx="47">
                  <c:v>-0.14032630152787415</c:v>
                </c:pt>
                <c:pt idx="48">
                  <c:v>-0.13952726738094753</c:v>
                </c:pt>
                <c:pt idx="49">
                  <c:v>-0.1395259678468708</c:v>
                </c:pt>
                <c:pt idx="50">
                  <c:v>-0.13772593392170185</c:v>
                </c:pt>
                <c:pt idx="51">
                  <c:v>-0.13772478377987132</c:v>
                </c:pt>
                <c:pt idx="52">
                  <c:v>-0.1349242505268787</c:v>
                </c:pt>
                <c:pt idx="53">
                  <c:v>-0.1349209494942093</c:v>
                </c:pt>
                <c:pt idx="54">
                  <c:v>-0.13111941761512974</c:v>
                </c:pt>
                <c:pt idx="55">
                  <c:v>-0.13111726672470411</c:v>
                </c:pt>
                <c:pt idx="56">
                  <c:v>-0.1263152371703809</c:v>
                </c:pt>
                <c:pt idx="57">
                  <c:v>-0.12630993464242482</c:v>
                </c:pt>
                <c:pt idx="58">
                  <c:v>-0.12050690861667064</c:v>
                </c:pt>
                <c:pt idx="59">
                  <c:v>-0.12050375697980401</c:v>
                </c:pt>
                <c:pt idx="60">
                  <c:v>-0.11370023593338509</c:v>
                </c:pt>
                <c:pt idx="61">
                  <c:v>-0.11369293191545282</c:v>
                </c:pt>
                <c:pt idx="62">
                  <c:v>-0.1038494442415228</c:v>
                </c:pt>
                <c:pt idx="63" formatCode="0.000">
                  <c:v>-0.10384517098744425</c:v>
                </c:pt>
                <c:pt idx="64" formatCode="0.000">
                  <c:v>-9.5298662830346076E-2</c:v>
                </c:pt>
                <c:pt idx="65" formatCode="0.000">
                  <c:v>-9.5290116322188978E-2</c:v>
                </c:pt>
                <c:pt idx="66" formatCode="0.000">
                  <c:v>-8.6743608165090802E-2</c:v>
                </c:pt>
                <c:pt idx="67" formatCode="0.000">
                  <c:v>-8.6739334911012253E-2</c:v>
                </c:pt>
                <c:pt idx="68" formatCode="0.000">
                  <c:v>-7.8192826753914077E-2</c:v>
                </c:pt>
                <c:pt idx="69" formatCode="0.000">
                  <c:v>-7.8184280245756979E-2</c:v>
                </c:pt>
                <c:pt idx="70" formatCode="0.000">
                  <c:v>-6.9637772088658803E-2</c:v>
                </c:pt>
                <c:pt idx="71" formatCode="0.000">
                  <c:v>-6.9633498834580254E-2</c:v>
                </c:pt>
                <c:pt idx="72" formatCode="0.000">
                  <c:v>-6.1086990677482071E-2</c:v>
                </c:pt>
                <c:pt idx="73" formatCode="0.000">
                  <c:v>-6.1078444169324973E-2</c:v>
                </c:pt>
                <c:pt idx="74" formatCode="0.000">
                  <c:v>-5.253193601222679E-2</c:v>
                </c:pt>
                <c:pt idx="75" formatCode="0.000">
                  <c:v>-5.2527662758148241E-2</c:v>
                </c:pt>
                <c:pt idx="76" formatCode="0.000">
                  <c:v>-4.3981154601050058E-2</c:v>
                </c:pt>
                <c:pt idx="77" formatCode="0.000">
                  <c:v>-4.3972608092892961E-2</c:v>
                </c:pt>
                <c:pt idx="78" formatCode="0.000">
                  <c:v>-3.5426099935794778E-2</c:v>
                </c:pt>
                <c:pt idx="79" formatCode="0.000">
                  <c:v>-3.5421826681716229E-2</c:v>
                </c:pt>
                <c:pt idx="80" formatCode="0.000">
                  <c:v>-2.6875318524618046E-2</c:v>
                </c:pt>
                <c:pt idx="81" formatCode="0.000">
                  <c:v>-2.6866772016460948E-2</c:v>
                </c:pt>
                <c:pt idx="82" formatCode="0.000">
                  <c:v>-1.8320263859362765E-2</c:v>
                </c:pt>
                <c:pt idx="83" formatCode="0.000">
                  <c:v>-1.8315990605284216E-2</c:v>
                </c:pt>
                <c:pt idx="84" formatCode="0.000">
                  <c:v>-9.7694824481860346E-3</c:v>
                </c:pt>
                <c:pt idx="85" formatCode="0.000">
                  <c:v>-9.7609359400289367E-3</c:v>
                </c:pt>
                <c:pt idx="86" formatCode="0.000">
                  <c:v>-1.2144277829307555E-3</c:v>
                </c:pt>
                <c:pt idx="87" formatCode="0.000">
                  <c:v>-1.2101545288522063E-3</c:v>
                </c:pt>
                <c:pt idx="88" formatCode="0.000">
                  <c:v>7.3363536282459747E-3</c:v>
                </c:pt>
                <c:pt idx="89" formatCode="0.000">
                  <c:v>7.3449001364030726E-3</c:v>
                </c:pt>
                <c:pt idx="90" formatCode="0.000">
                  <c:v>1.5891408293501254E-2</c:v>
                </c:pt>
                <c:pt idx="91" formatCode="0.000">
                  <c:v>1.5895681547579803E-2</c:v>
                </c:pt>
                <c:pt idx="92" formatCode="0.000">
                  <c:v>2.4442189704677986E-2</c:v>
                </c:pt>
                <c:pt idx="93" formatCode="0.000">
                  <c:v>2.4450736212835084E-2</c:v>
                </c:pt>
                <c:pt idx="94" formatCode="0.000">
                  <c:v>3.2997244369933267E-2</c:v>
                </c:pt>
                <c:pt idx="95" formatCode="0.000">
                  <c:v>3.3001517624011815E-2</c:v>
                </c:pt>
                <c:pt idx="96" formatCode="0.000">
                  <c:v>4.1548025781109998E-2</c:v>
                </c:pt>
                <c:pt idx="97" formatCode="0.000">
                  <c:v>4.1556572289267096E-2</c:v>
                </c:pt>
                <c:pt idx="98" formatCode="0.000">
                  <c:v>5.0103080446365279E-2</c:v>
                </c:pt>
                <c:pt idx="99" formatCode="0.000">
                  <c:v>5.0107353700443828E-2</c:v>
                </c:pt>
                <c:pt idx="100" formatCode="0.000">
                  <c:v>5.8653861857542011E-2</c:v>
                </c:pt>
                <c:pt idx="101" formatCode="0.000">
                  <c:v>5.8662408365699109E-2</c:v>
                </c:pt>
                <c:pt idx="102" formatCode="0.000">
                  <c:v>6.3209150705275344E-2</c:v>
                </c:pt>
                <c:pt idx="103" formatCode="0.000">
                  <c:v>6.7208916522797285E-2</c:v>
                </c:pt>
                <c:pt idx="104" formatCode="0.000">
                  <c:v>6.7213189776875834E-2</c:v>
                </c:pt>
                <c:pt idx="105" formatCode="0.000">
                  <c:v>7.575969793397401E-2</c:v>
                </c:pt>
                <c:pt idx="106" formatCode="0.000">
                  <c:v>7.5768244442131108E-2</c:v>
                </c:pt>
                <c:pt idx="107" formatCode="0.000">
                  <c:v>8.4314752599229284E-2</c:v>
                </c:pt>
                <c:pt idx="108" formatCode="0.000">
                  <c:v>8.4319025853307833E-2</c:v>
                </c:pt>
                <c:pt idx="109" formatCode="0.000">
                  <c:v>9.2865534010406009E-2</c:v>
                </c:pt>
                <c:pt idx="110" formatCode="0.000">
                  <c:v>9.2874080518563107E-2</c:v>
                </c:pt>
                <c:pt idx="111" formatCode="0.000">
                  <c:v>0.10142058867566128</c:v>
                </c:pt>
                <c:pt idx="112" formatCode="0.000">
                  <c:v>0.10142486192973983</c:v>
                </c:pt>
                <c:pt idx="113" formatCode="0.000">
                  <c:v>0.11021494556931531</c:v>
                </c:pt>
                <c:pt idx="114" formatCode="0.000">
                  <c:v>0.11157384036629392</c:v>
                </c:pt>
                <c:pt idx="115" formatCode="0.000">
                  <c:v>0.11158238687445102</c:v>
                </c:pt>
                <c:pt idx="116" formatCode="0.000">
                  <c:v>0.11500099013729029</c:v>
                </c:pt>
                <c:pt idx="117" formatCode="0.000">
                  <c:v>0.1154283155451452</c:v>
                </c:pt>
                <c:pt idx="118" formatCode="0.000">
                  <c:v>0.11884691880798447</c:v>
                </c:pt>
                <c:pt idx="119" formatCode="0.000">
                  <c:v>0.11885546531614156</c:v>
                </c:pt>
                <c:pt idx="120" formatCode="0.000">
                  <c:v>0.12782929888109465</c:v>
                </c:pt>
                <c:pt idx="121" formatCode="0.000">
                  <c:v>0.12783357213517321</c:v>
                </c:pt>
                <c:pt idx="122" formatCode="0.000">
                  <c:v>0.13680740570012631</c:v>
                </c:pt>
                <c:pt idx="123" formatCode="0.000">
                  <c:v>0.13681595220828341</c:v>
                </c:pt>
                <c:pt idx="124" formatCode="0.000">
                  <c:v>0.14536246036538158</c:v>
                </c:pt>
                <c:pt idx="125" formatCode="0.000">
                  <c:v>0.14536673361946015</c:v>
                </c:pt>
                <c:pt idx="126" formatCode="0.000">
                  <c:v>0.15391324177655832</c:v>
                </c:pt>
                <c:pt idx="127" formatCode="0.000">
                  <c:v>0.15392178828471542</c:v>
                </c:pt>
                <c:pt idx="128" formatCode="0.000">
                  <c:v>0.1624682964418136</c:v>
                </c:pt>
                <c:pt idx="129" formatCode="0.000">
                  <c:v>0.16247256969589216</c:v>
                </c:pt>
                <c:pt idx="130" formatCode="0.000">
                  <c:v>0.17101907785299034</c:v>
                </c:pt>
                <c:pt idx="131" formatCode="0.000">
                  <c:v>0.17102762436114743</c:v>
                </c:pt>
                <c:pt idx="132" formatCode="0.000">
                  <c:v>0.17957413251824561</c:v>
                </c:pt>
                <c:pt idx="133" formatCode="0.000">
                  <c:v>0.17957840577232417</c:v>
                </c:pt>
                <c:pt idx="134" formatCode="0.000">
                  <c:v>0.18812491392942235</c:v>
                </c:pt>
                <c:pt idx="135" formatCode="0.000">
                  <c:v>0.18813346043757945</c:v>
                </c:pt>
                <c:pt idx="136" formatCode="0.000">
                  <c:v>0.19667996859467762</c:v>
                </c:pt>
                <c:pt idx="137" formatCode="0.000">
                  <c:v>0.19668424184875619</c:v>
                </c:pt>
                <c:pt idx="138" formatCode="0.000">
                  <c:v>0.20523075000585436</c:v>
                </c:pt>
                <c:pt idx="139" formatCode="0.000">
                  <c:v>0.20523929651401146</c:v>
                </c:pt>
                <c:pt idx="140" formatCode="0.000">
                  <c:v>0.21378580467110964</c:v>
                </c:pt>
                <c:pt idx="141" formatCode="0.000">
                  <c:v>0.2137900779251882</c:v>
                </c:pt>
                <c:pt idx="142" formatCode="0.000">
                  <c:v>0.22233658608228637</c:v>
                </c:pt>
                <c:pt idx="143" formatCode="0.000">
                  <c:v>0.22234513259044347</c:v>
                </c:pt>
                <c:pt idx="144" formatCode="0.000">
                  <c:v>0.23089164074754165</c:v>
                </c:pt>
                <c:pt idx="145" formatCode="0.000">
                  <c:v>0.23089591400162021</c:v>
                </c:pt>
                <c:pt idx="146" formatCode="0.000">
                  <c:v>0.23944242215871839</c:v>
                </c:pt>
                <c:pt idx="147" formatCode="0.000">
                  <c:v>0.23945096866687549</c:v>
                </c:pt>
                <c:pt idx="148" formatCode="0.000">
                  <c:v>0.24799747682397366</c:v>
                </c:pt>
                <c:pt idx="149" formatCode="0.000">
                  <c:v>0.24800175007805222</c:v>
                </c:pt>
                <c:pt idx="150" formatCode="0.000">
                  <c:v>0.25654825823515043</c:v>
                </c:pt>
                <c:pt idx="151" formatCode="0.000">
                  <c:v>0.25655680474330755</c:v>
                </c:pt>
                <c:pt idx="152" formatCode="0.000">
                  <c:v>0.26510331290040573</c:v>
                </c:pt>
                <c:pt idx="153" formatCode="0.000">
                  <c:v>0.26510758615448426</c:v>
                </c:pt>
                <c:pt idx="154" formatCode="0.000">
                  <c:v>0.27365409431158244</c:v>
                </c:pt>
                <c:pt idx="155" formatCode="0.000">
                  <c:v>0.27366264081973957</c:v>
                </c:pt>
                <c:pt idx="156" formatCode="0.000">
                  <c:v>0.28220914897683774</c:v>
                </c:pt>
                <c:pt idx="157" formatCode="0.000">
                  <c:v>0.28221342223091628</c:v>
                </c:pt>
                <c:pt idx="158" formatCode="0.000">
                  <c:v>0.29075993038801445</c:v>
                </c:pt>
                <c:pt idx="159" formatCode="0.000">
                  <c:v>0.29076847689617158</c:v>
                </c:pt>
                <c:pt idx="160" formatCode="0.000">
                  <c:v>0.29931498505326976</c:v>
                </c:pt>
                <c:pt idx="161" formatCode="0.000">
                  <c:v>0.29931925830734829</c:v>
                </c:pt>
                <c:pt idx="162" formatCode="0.000">
                  <c:v>0.30786576646444647</c:v>
                </c:pt>
                <c:pt idx="163" formatCode="0.000">
                  <c:v>0.30787431297260359</c:v>
                </c:pt>
                <c:pt idx="164" formatCode="0.000">
                  <c:v>0.31642082112970177</c:v>
                </c:pt>
                <c:pt idx="165" formatCode="0.000">
                  <c:v>0.3164250943837803</c:v>
                </c:pt>
                <c:pt idx="166" formatCode="0.000">
                  <c:v>0.32497160254087848</c:v>
                </c:pt>
                <c:pt idx="167" formatCode="0.000">
                  <c:v>0.3249801490490356</c:v>
                </c:pt>
                <c:pt idx="168" formatCode="0.000">
                  <c:v>0.33139003016685925</c:v>
                </c:pt>
                <c:pt idx="169" formatCode="0.000">
                  <c:v>0.33139430342093779</c:v>
                </c:pt>
                <c:pt idx="170" formatCode="0.000">
                  <c:v>0.33780418453876143</c:v>
                </c:pt>
                <c:pt idx="171" formatCode="0.000">
                  <c:v>0.33780845779283997</c:v>
                </c:pt>
                <c:pt idx="172" formatCode="0.000">
                  <c:v>0.34058179968981833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76-A648-972C-2F73C8190046}"/>
            </c:ext>
          </c:extLst>
        </c:ser>
        <c:ser>
          <c:idx val="1"/>
          <c:order val="1"/>
          <c:tx>
            <c:v>McStas zx plane</c:v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Specification!$K$3:$K$175</c:f>
              <c:numCache>
                <c:formatCode>0.00000</c:formatCode>
                <c:ptCount val="173"/>
                <c:pt idx="0">
                  <c:v>1.9042399999999999</c:v>
                </c:pt>
                <c:pt idx="1">
                  <c:v>2.4042209615320855</c:v>
                </c:pt>
                <c:pt idx="2">
                  <c:v>2.9042021886885934</c:v>
                </c:pt>
                <c:pt idx="3">
                  <c:v>3.4041839046150124</c:v>
                </c:pt>
                <c:pt idx="4">
                  <c:v>3.9041660526726334</c:v>
                </c:pt>
                <c:pt idx="5">
                  <c:v>4.4041485762225978</c:v>
                </c:pt>
                <c:pt idx="6">
                  <c:v>4.9041314186259068</c:v>
                </c:pt>
                <c:pt idx="7">
                  <c:v>5.3841151945570784</c:v>
                </c:pt>
                <c:pt idx="8">
                  <c:v>5.9020978998622944</c:v>
                </c:pt>
                <c:pt idx="9">
                  <c:v>8.0828893130008641</c:v>
                </c:pt>
                <c:pt idx="10">
                  <c:v>8.083889280006618</c:v>
                </c:pt>
                <c:pt idx="11">
                  <c:v>10.264678828997724</c:v>
                </c:pt>
                <c:pt idx="12">
                  <c:v>10.266678759141216</c:v>
                </c:pt>
                <c:pt idx="13">
                  <c:v>12.447461735590025</c:v>
                </c:pt>
                <c:pt idx="14">
                  <c:v>12.448461696569689</c:v>
                </c:pt>
                <c:pt idx="15">
                  <c:v>14.629233398096263</c:v>
                </c:pt>
                <c:pt idx="16">
                  <c:v>14.631233307555275</c:v>
                </c:pt>
                <c:pt idx="17">
                  <c:v>15.431550000000001</c:v>
                </c:pt>
                <c:pt idx="18">
                  <c:v>15.458048723885605</c:v>
                </c:pt>
                <c:pt idx="19">
                  <c:v>16.258008936470844</c:v>
                </c:pt>
                <c:pt idx="20">
                  <c:v>16.260008833789954</c:v>
                </c:pt>
                <c:pt idx="21">
                  <c:v>17.96201586455571</c:v>
                </c:pt>
                <c:pt idx="22">
                  <c:v>17.963015805579317</c:v>
                </c:pt>
                <c:pt idx="23">
                  <c:v>19.665008724162927</c:v>
                </c:pt>
                <c:pt idx="24">
                  <c:v>19.667008588308153</c:v>
                </c:pt>
                <c:pt idx="25">
                  <c:v>20.46725</c:v>
                </c:pt>
                <c:pt idx="26">
                  <c:v>20.49374807424331</c:v>
                </c:pt>
                <c:pt idx="27">
                  <c:v>21.293687920643166</c:v>
                </c:pt>
                <c:pt idx="28">
                  <c:v>21.295687765216861</c:v>
                </c:pt>
                <c:pt idx="29">
                  <c:v>23.295519116132731</c:v>
                </c:pt>
                <c:pt idx="30">
                  <c:v>23.296519024746431</c:v>
                </c:pt>
                <c:pt idx="31">
                  <c:v>23.996453247507809</c:v>
                </c:pt>
                <c:pt idx="32">
                  <c:v>23.998453054291542</c:v>
                </c:pt>
                <c:pt idx="33">
                  <c:v>25.998244163344037</c:v>
                </c:pt>
                <c:pt idx="34">
                  <c:v>25.99924405061148</c:v>
                </c:pt>
                <c:pt idx="35">
                  <c:v>27.899014101969378</c:v>
                </c:pt>
                <c:pt idx="36">
                  <c:v>27.901013842504042</c:v>
                </c:pt>
                <c:pt idx="37">
                  <c:v>28.402947523996573</c:v>
                </c:pt>
                <c:pt idx="38">
                  <c:v>29.900757866304225</c:v>
                </c:pt>
                <c:pt idx="39">
                  <c:v>29.901757747344199</c:v>
                </c:pt>
                <c:pt idx="40">
                  <c:v>31.901539450498735</c:v>
                </c:pt>
                <c:pt idx="41">
                  <c:v>31.903539250927178</c:v>
                </c:pt>
                <c:pt idx="42">
                  <c:v>33.903357496700643</c:v>
                </c:pt>
                <c:pt idx="43">
                  <c:v>33.904357414274102</c:v>
                </c:pt>
                <c:pt idx="44">
                  <c:v>35.904208555248545</c:v>
                </c:pt>
                <c:pt idx="45">
                  <c:v>35.906208421483811</c:v>
                </c:pt>
                <c:pt idx="46">
                  <c:v>37.906088843041566</c:v>
                </c:pt>
                <c:pt idx="47">
                  <c:v>37.907088789888284</c:v>
                </c:pt>
                <c:pt idx="48">
                  <c:v>39.906994848091657</c:v>
                </c:pt>
                <c:pt idx="49">
                  <c:v>39.908994765613009</c:v>
                </c:pt>
                <c:pt idx="50">
                  <c:v>41.908922842089133</c:v>
                </c:pt>
                <c:pt idx="51">
                  <c:v>41.909922810948615</c:v>
                </c:pt>
                <c:pt idx="52">
                  <c:v>43.909869265279085</c:v>
                </c:pt>
                <c:pt idx="53">
                  <c:v>43.911869219565325</c:v>
                </c:pt>
                <c:pt idx="54">
                  <c:v>45.911830429660853</c:v>
                </c:pt>
                <c:pt idx="55">
                  <c:v>45.912830413272417</c:v>
                </c:pt>
                <c:pt idx="56">
                  <c:v>47.912802742272866</c:v>
                </c:pt>
                <c:pt idx="57">
                  <c:v>47.914802718802463</c:v>
                </c:pt>
                <c:pt idx="58">
                  <c:v>49.914782540940941</c:v>
                </c:pt>
                <c:pt idx="59">
                  <c:v>49.915782532043764</c:v>
                </c:pt>
                <c:pt idx="60">
                  <c:v>51.915766214057363</c:v>
                </c:pt>
                <c:pt idx="61">
                  <c:v>51.917766198308641</c:v>
                </c:pt>
                <c:pt idx="62">
                  <c:v>54.401745946597657</c:v>
                </c:pt>
                <c:pt idx="63" formatCode="0.000">
                  <c:v>54.402745937467266</c:v>
                </c:pt>
                <c:pt idx="64" formatCode="0.000">
                  <c:v>56.402727676683483</c:v>
                </c:pt>
                <c:pt idx="65" formatCode="0.000">
                  <c:v>56.404727658422701</c:v>
                </c:pt>
                <c:pt idx="66" formatCode="0.000">
                  <c:v>58.404709397638918</c:v>
                </c:pt>
                <c:pt idx="67" formatCode="0.000">
                  <c:v>58.405709388508527</c:v>
                </c:pt>
                <c:pt idx="68" formatCode="0.000">
                  <c:v>60.405691127724744</c:v>
                </c:pt>
                <c:pt idx="69" formatCode="0.000">
                  <c:v>60.407691109463961</c:v>
                </c:pt>
                <c:pt idx="70" formatCode="0.000">
                  <c:v>62.407672848680178</c:v>
                </c:pt>
                <c:pt idx="71" formatCode="0.000">
                  <c:v>62.408672839549787</c:v>
                </c:pt>
                <c:pt idx="72" formatCode="0.000">
                  <c:v>64.408654578766004</c:v>
                </c:pt>
                <c:pt idx="73" formatCode="0.000">
                  <c:v>64.410654560505222</c:v>
                </c:pt>
                <c:pt idx="74" formatCode="0.000">
                  <c:v>66.410636299721432</c:v>
                </c:pt>
                <c:pt idx="75" formatCode="0.000">
                  <c:v>66.411636290591034</c:v>
                </c:pt>
                <c:pt idx="76" formatCode="0.000">
                  <c:v>68.411618029807244</c:v>
                </c:pt>
                <c:pt idx="77" formatCode="0.000">
                  <c:v>68.413618011546461</c:v>
                </c:pt>
                <c:pt idx="78" formatCode="0.000">
                  <c:v>70.413599750762671</c:v>
                </c:pt>
                <c:pt idx="79" formatCode="0.000">
                  <c:v>70.414599741632273</c:v>
                </c:pt>
                <c:pt idx="80" formatCode="0.000">
                  <c:v>72.414581480848483</c:v>
                </c:pt>
                <c:pt idx="81" formatCode="0.000">
                  <c:v>72.4165814625877</c:v>
                </c:pt>
                <c:pt idx="82" formatCode="0.000">
                  <c:v>74.41656320180391</c:v>
                </c:pt>
                <c:pt idx="83" formatCode="0.000">
                  <c:v>74.417563192673512</c:v>
                </c:pt>
                <c:pt idx="84" formatCode="0.000">
                  <c:v>76.417544931889722</c:v>
                </c:pt>
                <c:pt idx="85" formatCode="0.000">
                  <c:v>76.41954491362894</c:v>
                </c:pt>
                <c:pt idx="86" formatCode="0.000">
                  <c:v>78.41952665284515</c:v>
                </c:pt>
                <c:pt idx="87" formatCode="0.000">
                  <c:v>78.420526643714751</c:v>
                </c:pt>
                <c:pt idx="88" formatCode="0.000">
                  <c:v>80.420508382930961</c:v>
                </c:pt>
                <c:pt idx="89" formatCode="0.000">
                  <c:v>80.422508364670179</c:v>
                </c:pt>
                <c:pt idx="90" formatCode="0.000">
                  <c:v>82.422490103886389</c:v>
                </c:pt>
                <c:pt idx="91" formatCode="0.000">
                  <c:v>82.423490094755991</c:v>
                </c:pt>
                <c:pt idx="92" formatCode="0.000">
                  <c:v>84.423471833972201</c:v>
                </c:pt>
                <c:pt idx="93" formatCode="0.000">
                  <c:v>84.425471815711418</c:v>
                </c:pt>
                <c:pt idx="94" formatCode="0.000">
                  <c:v>86.425453554927628</c:v>
                </c:pt>
                <c:pt idx="95" formatCode="0.000">
                  <c:v>86.42645354579723</c:v>
                </c:pt>
                <c:pt idx="96" formatCode="0.000">
                  <c:v>88.42643528501344</c:v>
                </c:pt>
                <c:pt idx="97" formatCode="0.000">
                  <c:v>88.428435266752658</c:v>
                </c:pt>
                <c:pt idx="98" formatCode="0.000">
                  <c:v>90.428417005968868</c:v>
                </c:pt>
                <c:pt idx="99" formatCode="0.000">
                  <c:v>90.429416996838469</c:v>
                </c:pt>
                <c:pt idx="100" formatCode="0.000">
                  <c:v>92.429398736054679</c:v>
                </c:pt>
                <c:pt idx="101" formatCode="0.000">
                  <c:v>92.431398717793897</c:v>
                </c:pt>
                <c:pt idx="102" formatCode="0.000">
                  <c:v>93.495389003056928</c:v>
                </c:pt>
                <c:pt idx="103" formatCode="0.000">
                  <c:v>94.431380457010121</c:v>
                </c:pt>
                <c:pt idx="104" formatCode="0.000">
                  <c:v>94.432380447879723</c:v>
                </c:pt>
                <c:pt idx="105" formatCode="0.000">
                  <c:v>96.432362187095933</c:v>
                </c:pt>
                <c:pt idx="106" formatCode="0.000">
                  <c:v>96.43436216883515</c:v>
                </c:pt>
                <c:pt idx="107" formatCode="0.000">
                  <c:v>98.43434390805136</c:v>
                </c:pt>
                <c:pt idx="108" formatCode="0.000">
                  <c:v>98.435343898920962</c:v>
                </c:pt>
                <c:pt idx="109" formatCode="0.000">
                  <c:v>100.43532563813717</c:v>
                </c:pt>
                <c:pt idx="110" formatCode="0.000">
                  <c:v>100.43732561987639</c:v>
                </c:pt>
                <c:pt idx="111" formatCode="0.000">
                  <c:v>102.4373073590926</c:v>
                </c:pt>
                <c:pt idx="112" formatCode="0.000">
                  <c:v>102.4383073499622</c:v>
                </c:pt>
                <c:pt idx="113" formatCode="0.000">
                  <c:v>104.49528856874608</c:v>
                </c:pt>
                <c:pt idx="114" formatCode="0.000">
                  <c:v>104.81328566528146</c:v>
                </c:pt>
                <c:pt idx="115" formatCode="0.000">
                  <c:v>104.81528564702067</c:v>
                </c:pt>
                <c:pt idx="116" formatCode="0.000">
                  <c:v>105.61500000000001</c:v>
                </c:pt>
                <c:pt idx="117" formatCode="0.000">
                  <c:v>105.71499908696082</c:v>
                </c:pt>
                <c:pt idx="118" formatCode="0.000">
                  <c:v>106.5149917826473</c:v>
                </c:pt>
                <c:pt idx="119" formatCode="0.000">
                  <c:v>106.51699176438652</c:v>
                </c:pt>
                <c:pt idx="120" formatCode="0.000">
                  <c:v>108.61697259056355</c:v>
                </c:pt>
                <c:pt idx="121" formatCode="0.000">
                  <c:v>108.61797258143315</c:v>
                </c:pt>
                <c:pt idx="122" formatCode="0.000">
                  <c:v>110.71795340761018</c:v>
                </c:pt>
                <c:pt idx="123" formatCode="0.000">
                  <c:v>110.7199533893494</c:v>
                </c:pt>
                <c:pt idx="124" formatCode="0.000">
                  <c:v>112.71993512856561</c:v>
                </c:pt>
                <c:pt idx="125" formatCode="0.000">
                  <c:v>112.72093511943521</c:v>
                </c:pt>
                <c:pt idx="126" formatCode="0.000">
                  <c:v>114.72091685865142</c:v>
                </c:pt>
                <c:pt idx="127" formatCode="0.000">
                  <c:v>114.72291684039064</c:v>
                </c:pt>
                <c:pt idx="128" formatCode="0.000">
                  <c:v>116.72289857960685</c:v>
                </c:pt>
                <c:pt idx="129" formatCode="0.000">
                  <c:v>116.72389857047645</c:v>
                </c:pt>
                <c:pt idx="130" formatCode="0.000">
                  <c:v>118.72388030969266</c:v>
                </c:pt>
                <c:pt idx="131" formatCode="0.000">
                  <c:v>118.72588029143188</c:v>
                </c:pt>
                <c:pt idx="132" formatCode="0.000">
                  <c:v>120.72586203064809</c:v>
                </c:pt>
                <c:pt idx="133" formatCode="0.000">
                  <c:v>120.72686202151769</c:v>
                </c:pt>
                <c:pt idx="134" formatCode="0.000">
                  <c:v>122.7268437607339</c:v>
                </c:pt>
                <c:pt idx="135" formatCode="0.000">
                  <c:v>122.72884374247312</c:v>
                </c:pt>
                <c:pt idx="136" formatCode="0.000">
                  <c:v>124.72882548168933</c:v>
                </c:pt>
                <c:pt idx="137" formatCode="0.000">
                  <c:v>124.72982547255893</c:v>
                </c:pt>
                <c:pt idx="138" formatCode="0.000">
                  <c:v>126.72980721177514</c:v>
                </c:pt>
                <c:pt idx="139" formatCode="0.000">
                  <c:v>126.73180719351436</c:v>
                </c:pt>
                <c:pt idx="140" formatCode="0.000">
                  <c:v>128.73178893273058</c:v>
                </c:pt>
                <c:pt idx="141" formatCode="0.000">
                  <c:v>128.7327889236002</c:v>
                </c:pt>
                <c:pt idx="142" formatCode="0.000">
                  <c:v>130.73277066281642</c:v>
                </c:pt>
                <c:pt idx="143" formatCode="0.000">
                  <c:v>130.73477064455562</c:v>
                </c:pt>
                <c:pt idx="144" formatCode="0.000">
                  <c:v>132.73475238377185</c:v>
                </c:pt>
                <c:pt idx="145" formatCode="0.000">
                  <c:v>132.73575237464146</c:v>
                </c:pt>
                <c:pt idx="146" formatCode="0.000">
                  <c:v>134.73573411385769</c:v>
                </c:pt>
                <c:pt idx="147" formatCode="0.000">
                  <c:v>134.73773409559689</c:v>
                </c:pt>
                <c:pt idx="148" formatCode="0.000">
                  <c:v>136.73771583481312</c:v>
                </c:pt>
                <c:pt idx="149" formatCode="0.000">
                  <c:v>136.73871582568273</c:v>
                </c:pt>
                <c:pt idx="150" formatCode="0.000">
                  <c:v>138.73869756489896</c:v>
                </c:pt>
                <c:pt idx="151" formatCode="0.000">
                  <c:v>138.74069754663816</c:v>
                </c:pt>
                <c:pt idx="152" formatCode="0.000">
                  <c:v>140.74067928585438</c:v>
                </c:pt>
                <c:pt idx="153" formatCode="0.000">
                  <c:v>140.741679276724</c:v>
                </c:pt>
                <c:pt idx="154" formatCode="0.000">
                  <c:v>142.74166101594022</c:v>
                </c:pt>
                <c:pt idx="155" formatCode="0.000">
                  <c:v>142.74366099767943</c:v>
                </c:pt>
                <c:pt idx="156" formatCode="0.000">
                  <c:v>144.74364273689565</c:v>
                </c:pt>
                <c:pt idx="157" formatCode="0.000">
                  <c:v>144.74464272776527</c:v>
                </c:pt>
                <c:pt idx="158" formatCode="0.000">
                  <c:v>146.74462446698149</c:v>
                </c:pt>
                <c:pt idx="159" formatCode="0.000">
                  <c:v>146.74662444872069</c:v>
                </c:pt>
                <c:pt idx="160" formatCode="0.000">
                  <c:v>148.74660618793692</c:v>
                </c:pt>
                <c:pt idx="161" formatCode="0.000">
                  <c:v>148.74760617880654</c:v>
                </c:pt>
                <c:pt idx="162" formatCode="0.000">
                  <c:v>150.74758791802276</c:v>
                </c:pt>
                <c:pt idx="163" formatCode="0.000">
                  <c:v>150.74958789976196</c:v>
                </c:pt>
                <c:pt idx="164" formatCode="0.000">
                  <c:v>152.74956963897819</c:v>
                </c:pt>
                <c:pt idx="165" formatCode="0.000">
                  <c:v>152.7505696298478</c:v>
                </c:pt>
                <c:pt idx="166" formatCode="0.000">
                  <c:v>154.75055136906403</c:v>
                </c:pt>
                <c:pt idx="167" formatCode="0.000">
                  <c:v>154.75255135080323</c:v>
                </c:pt>
                <c:pt idx="168" formatCode="0.000">
                  <c:v>156.25253765521541</c:v>
                </c:pt>
                <c:pt idx="169" formatCode="0.000">
                  <c:v>156.25353764608502</c:v>
                </c:pt>
                <c:pt idx="170" formatCode="0.000">
                  <c:v>157.7535239504972</c:v>
                </c:pt>
                <c:pt idx="171" formatCode="0.000">
                  <c:v>157.75452394136681</c:v>
                </c:pt>
                <c:pt idx="172" formatCode="0.000">
                  <c:v>158.44499999999999</c:v>
                </c:pt>
              </c:numCache>
            </c:numRef>
          </c:xVal>
          <c:yVal>
            <c:numRef>
              <c:f>Specification!$J$3:$J$175</c:f>
              <c:numCache>
                <c:formatCode>0.00000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-7.8124999682108564E-5</c:v>
                </c:pt>
                <c:pt idx="3">
                  <c:v>-3.1249999109903985E-4</c:v>
                </c:pt>
                <c:pt idx="4">
                  <c:v>-7.0312495136261137E-4</c:v>
                </c:pt>
                <c:pt idx="5">
                  <c:v>-1.2499998423258544E-3</c:v>
                </c:pt>
                <c:pt idx="6">
                  <c:v>-1.9531246105830183E-3</c:v>
                </c:pt>
                <c:pt idx="7">
                  <c:v>-2.7751242088091708E-3</c:v>
                </c:pt>
                <c:pt idx="8">
                  <c:v>-3.8237497425811359E-3</c:v>
                </c:pt>
                <c:pt idx="9">
                  <c:v>-1.0077954062880871E-2</c:v>
                </c:pt>
                <c:pt idx="10">
                  <c:v>-1.0081503657317551E-2</c:v>
                </c:pt>
                <c:pt idx="11">
                  <c:v>-1.9309654259829487E-2</c:v>
                </c:pt>
                <c:pt idx="12">
                  <c:v>-1.9319481377848856E-2</c:v>
                </c:pt>
                <c:pt idx="13">
                  <c:v>-3.1522924120139351E-2</c:v>
                </c:pt>
                <c:pt idx="14">
                  <c:v>-3.1529201634580693E-2</c:v>
                </c:pt>
                <c:pt idx="15">
                  <c:v>-4.6706550796182016E-2</c:v>
                </c:pt>
                <c:pt idx="16">
                  <c:v>-4.6721833712570236E-2</c:v>
                </c:pt>
                <c:pt idx="17">
                  <c:v>-5.3035494219894196E-2</c:v>
                </c:pt>
                <c:pt idx="18">
                  <c:v>-5.3251478457116211E-2</c:v>
                </c:pt>
                <c:pt idx="19">
                  <c:v>-5.9978375233894696E-2</c:v>
                </c:pt>
                <c:pt idx="20">
                  <c:v>-5.9995693707582495E-2</c:v>
                </c:pt>
                <c:pt idx="21">
                  <c:v>-7.564097226824712E-2</c:v>
                </c:pt>
                <c:pt idx="22">
                  <c:v>-7.5650696210460666E-2</c:v>
                </c:pt>
                <c:pt idx="23">
                  <c:v>-9.3107669453770275E-2</c:v>
                </c:pt>
                <c:pt idx="24">
                  <c:v>-9.3129246726888701E-2</c:v>
                </c:pt>
                <c:pt idx="25">
                  <c:v>-0.10196064403218835</c:v>
                </c:pt>
                <c:pt idx="26">
                  <c:v>-0.10226002809415552</c:v>
                </c:pt>
                <c:pt idx="27">
                  <c:v>-0.11150464902169112</c:v>
                </c:pt>
                <c:pt idx="28">
                  <c:v>-0.11152826178981029</c:v>
                </c:pt>
                <c:pt idx="29">
                  <c:v>-0.13639218799691791</c:v>
                </c:pt>
                <c:pt idx="30">
                  <c:v>-0.13640524522172612</c:v>
                </c:pt>
                <c:pt idx="31">
                  <c:v>-0.14569863304450731</c:v>
                </c:pt>
                <c:pt idx="32">
                  <c:v>-0.14572562429183281</c:v>
                </c:pt>
                <c:pt idx="33">
                  <c:v>-0.17396800230199186</c:v>
                </c:pt>
                <c:pt idx="34">
                  <c:v>-0.17398274873834613</c:v>
                </c:pt>
                <c:pt idx="35">
                  <c:v>-0.20312956882032993</c:v>
                </c:pt>
                <c:pt idx="36">
                  <c:v>-0.20316143828820282</c:v>
                </c:pt>
                <c:pt idx="37">
                  <c:v>-0.21123972958619797</c:v>
                </c:pt>
                <c:pt idx="38">
                  <c:v>-0.23487967248425196</c:v>
                </c:pt>
                <c:pt idx="39">
                  <c:v>-0.23489498510664086</c:v>
                </c:pt>
                <c:pt idx="40">
                  <c:v>-0.26426974560808297</c:v>
                </c:pt>
                <c:pt idx="41">
                  <c:v>-0.26429786924788384</c:v>
                </c:pt>
                <c:pt idx="42">
                  <c:v>-0.291170377340433</c:v>
                </c:pt>
                <c:pt idx="43">
                  <c:v>-0.29118318833584039</c:v>
                </c:pt>
                <c:pt idx="44">
                  <c:v>-0.31555465185438336</c:v>
                </c:pt>
                <c:pt idx="45">
                  <c:v>-0.31557777215611776</c:v>
                </c:pt>
                <c:pt idx="46">
                  <c:v>-0.33744690305689234</c:v>
                </c:pt>
                <c:pt idx="47">
                  <c:v>-0.33745721234512949</c:v>
                </c:pt>
                <c:pt idx="48">
                  <c:v>-0.35682522633063779</c:v>
                </c:pt>
                <c:pt idx="49">
                  <c:v>-0.35684334314958704</c:v>
                </c:pt>
                <c:pt idx="50">
                  <c:v>-0.37370895997149028</c:v>
                </c:pt>
                <c:pt idx="51">
                  <c:v>-0.3737167674880274</c:v>
                </c:pt>
                <c:pt idx="52">
                  <c:v>-0.38808121070883361</c:v>
                </c:pt>
                <c:pt idx="53">
                  <c:v>-0.38809432393159771</c:v>
                </c:pt>
                <c:pt idx="54">
                  <c:v>-0.39995632110640517</c:v>
                </c:pt>
                <c:pt idx="55">
                  <c:v>-0.39996162680237207</c:v>
                </c:pt>
                <c:pt idx="56">
                  <c:v>-0.40932240934603581</c:v>
                </c:pt>
                <c:pt idx="57">
                  <c:v>-0.40933051889053423</c:v>
                </c:pt>
                <c:pt idx="58">
                  <c:v>-0.41618882216955433</c:v>
                </c:pt>
                <c:pt idx="59">
                  <c:v>-0.4161916260117407</c:v>
                </c:pt>
                <c:pt idx="60">
                  <c:v>-0.42054868928561134</c:v>
                </c:pt>
                <c:pt idx="61">
                  <c:v>-0.42055179510108337</c:v>
                </c:pt>
                <c:pt idx="62">
                  <c:v>-0.42247946177423235</c:v>
                </c:pt>
                <c:pt idx="63" formatCode="0.000">
                  <c:v>-0.4224794612450925</c:v>
                </c:pt>
                <c:pt idx="64" formatCode="0.000">
                  <c:v>-0.4224794612450925</c:v>
                </c:pt>
                <c:pt idx="65" formatCode="0.000">
                  <c:v>-0.4224794612450925</c:v>
                </c:pt>
                <c:pt idx="66" formatCode="0.000">
                  <c:v>-0.4224794612450925</c:v>
                </c:pt>
                <c:pt idx="67" formatCode="0.000">
                  <c:v>-0.4224794612450925</c:v>
                </c:pt>
                <c:pt idx="68" formatCode="0.000">
                  <c:v>-0.4224794612450925</c:v>
                </c:pt>
                <c:pt idx="69" formatCode="0.000">
                  <c:v>-0.4224794612450925</c:v>
                </c:pt>
                <c:pt idx="70" formatCode="0.000">
                  <c:v>-0.4224794612450925</c:v>
                </c:pt>
                <c:pt idx="71" formatCode="0.000">
                  <c:v>-0.4224794612450925</c:v>
                </c:pt>
                <c:pt idx="72" formatCode="0.000">
                  <c:v>-0.4224794612450925</c:v>
                </c:pt>
                <c:pt idx="73" formatCode="0.000">
                  <c:v>-0.4224794612450925</c:v>
                </c:pt>
                <c:pt idx="74" formatCode="0.000">
                  <c:v>-0.4224794612450925</c:v>
                </c:pt>
                <c:pt idx="75" formatCode="0.000">
                  <c:v>-0.4224794612450925</c:v>
                </c:pt>
                <c:pt idx="76" formatCode="0.000">
                  <c:v>-0.4224794612450925</c:v>
                </c:pt>
                <c:pt idx="77" formatCode="0.000">
                  <c:v>-0.4224794612450925</c:v>
                </c:pt>
                <c:pt idx="78" formatCode="0.000">
                  <c:v>-0.4224794612450925</c:v>
                </c:pt>
                <c:pt idx="79" formatCode="0.000">
                  <c:v>-0.4224794612450925</c:v>
                </c:pt>
                <c:pt idx="80" formatCode="0.000">
                  <c:v>-0.4224794612450925</c:v>
                </c:pt>
                <c:pt idx="81" formatCode="0.000">
                  <c:v>-0.4224794612450925</c:v>
                </c:pt>
                <c:pt idx="82" formatCode="0.000">
                  <c:v>-0.4224794612450925</c:v>
                </c:pt>
                <c:pt idx="83" formatCode="0.000">
                  <c:v>-0.4224794612450925</c:v>
                </c:pt>
                <c:pt idx="84" formatCode="0.000">
                  <c:v>-0.4224794612450925</c:v>
                </c:pt>
                <c:pt idx="85" formatCode="0.000">
                  <c:v>-0.4224794612450925</c:v>
                </c:pt>
                <c:pt idx="86" formatCode="0.000">
                  <c:v>-0.4224794612450925</c:v>
                </c:pt>
                <c:pt idx="87" formatCode="0.000">
                  <c:v>-0.4224794612450925</c:v>
                </c:pt>
                <c:pt idx="88" formatCode="0.000">
                  <c:v>-0.4224794612450925</c:v>
                </c:pt>
                <c:pt idx="89" formatCode="0.000">
                  <c:v>-0.4224794612450925</c:v>
                </c:pt>
                <c:pt idx="90" formatCode="0.000">
                  <c:v>-0.4224794612450925</c:v>
                </c:pt>
                <c:pt idx="91" formatCode="0.000">
                  <c:v>-0.4224794612450925</c:v>
                </c:pt>
                <c:pt idx="92" formatCode="0.000">
                  <c:v>-0.4224794612450925</c:v>
                </c:pt>
                <c:pt idx="93" formatCode="0.000">
                  <c:v>-0.4224794612450925</c:v>
                </c:pt>
                <c:pt idx="94" formatCode="0.000">
                  <c:v>-0.4224794612450925</c:v>
                </c:pt>
                <c:pt idx="95" formatCode="0.000">
                  <c:v>-0.4224794612450925</c:v>
                </c:pt>
                <c:pt idx="96" formatCode="0.000">
                  <c:v>-0.4224794612450925</c:v>
                </c:pt>
                <c:pt idx="97" formatCode="0.000">
                  <c:v>-0.4224794612450925</c:v>
                </c:pt>
                <c:pt idx="98" formatCode="0.000">
                  <c:v>-0.4224794612450925</c:v>
                </c:pt>
                <c:pt idx="99" formatCode="0.000">
                  <c:v>-0.4224794612450925</c:v>
                </c:pt>
                <c:pt idx="100" formatCode="0.000">
                  <c:v>-0.4224794612450925</c:v>
                </c:pt>
                <c:pt idx="101" formatCode="0.000">
                  <c:v>-0.4224794612450925</c:v>
                </c:pt>
                <c:pt idx="102" formatCode="0.000">
                  <c:v>-0.4224794612450925</c:v>
                </c:pt>
                <c:pt idx="103" formatCode="0.000">
                  <c:v>-0.4224794612450925</c:v>
                </c:pt>
                <c:pt idx="104" formatCode="0.000">
                  <c:v>-0.4224794612450925</c:v>
                </c:pt>
                <c:pt idx="105" formatCode="0.000">
                  <c:v>-0.4224794612450925</c:v>
                </c:pt>
                <c:pt idx="106" formatCode="0.000">
                  <c:v>-0.4224794612450925</c:v>
                </c:pt>
                <c:pt idx="107" formatCode="0.000">
                  <c:v>-0.4224794612450925</c:v>
                </c:pt>
                <c:pt idx="108" formatCode="0.000">
                  <c:v>-0.4224794612450925</c:v>
                </c:pt>
                <c:pt idx="109" formatCode="0.000">
                  <c:v>-0.4224794612450925</c:v>
                </c:pt>
                <c:pt idx="110" formatCode="0.000">
                  <c:v>-0.4224794612450925</c:v>
                </c:pt>
                <c:pt idx="111" formatCode="0.000">
                  <c:v>-0.4224794612450925</c:v>
                </c:pt>
                <c:pt idx="112" formatCode="0.000">
                  <c:v>-0.4224794612450925</c:v>
                </c:pt>
                <c:pt idx="113" formatCode="0.000">
                  <c:v>-0.4224794612450925</c:v>
                </c:pt>
                <c:pt idx="114" formatCode="0.000">
                  <c:v>-0.4224794612450925</c:v>
                </c:pt>
                <c:pt idx="115" formatCode="0.000">
                  <c:v>-0.4224794612450925</c:v>
                </c:pt>
                <c:pt idx="116" formatCode="0.000">
                  <c:v>-0.4224794612450925</c:v>
                </c:pt>
                <c:pt idx="117" formatCode="0.000">
                  <c:v>-0.4224794612450925</c:v>
                </c:pt>
                <c:pt idx="118" formatCode="0.000">
                  <c:v>-0.4224794612450925</c:v>
                </c:pt>
                <c:pt idx="119" formatCode="0.000">
                  <c:v>-0.4224794612450925</c:v>
                </c:pt>
                <c:pt idx="120" formatCode="0.000">
                  <c:v>-0.4224794612450925</c:v>
                </c:pt>
                <c:pt idx="121" formatCode="0.000">
                  <c:v>-0.4224794612450925</c:v>
                </c:pt>
                <c:pt idx="122" formatCode="0.000">
                  <c:v>-0.4224794612450925</c:v>
                </c:pt>
                <c:pt idx="123" formatCode="0.000">
                  <c:v>-0.4224794612450925</c:v>
                </c:pt>
                <c:pt idx="124" formatCode="0.000">
                  <c:v>-0.4224794612450925</c:v>
                </c:pt>
                <c:pt idx="125" formatCode="0.000">
                  <c:v>-0.4224794612450925</c:v>
                </c:pt>
                <c:pt idx="126" formatCode="0.000">
                  <c:v>-0.4224794612450925</c:v>
                </c:pt>
                <c:pt idx="127" formatCode="0.000">
                  <c:v>-0.4224794612450925</c:v>
                </c:pt>
                <c:pt idx="128" formatCode="0.000">
                  <c:v>-0.4224794612450925</c:v>
                </c:pt>
                <c:pt idx="129" formatCode="0.000">
                  <c:v>-0.4224794612450925</c:v>
                </c:pt>
                <c:pt idx="130" formatCode="0.000">
                  <c:v>-0.4224794612450925</c:v>
                </c:pt>
                <c:pt idx="131" formatCode="0.000">
                  <c:v>-0.4224794612450925</c:v>
                </c:pt>
                <c:pt idx="132" formatCode="0.000">
                  <c:v>-0.4224794612450925</c:v>
                </c:pt>
                <c:pt idx="133" formatCode="0.000">
                  <c:v>-0.4224794612450925</c:v>
                </c:pt>
                <c:pt idx="134" formatCode="0.000">
                  <c:v>-0.4224794612450925</c:v>
                </c:pt>
                <c:pt idx="135" formatCode="0.000">
                  <c:v>-0.4224794612450925</c:v>
                </c:pt>
                <c:pt idx="136" formatCode="0.000">
                  <c:v>-0.4224794612450925</c:v>
                </c:pt>
                <c:pt idx="137" formatCode="0.000">
                  <c:v>-0.4224794612450925</c:v>
                </c:pt>
                <c:pt idx="138" formatCode="0.000">
                  <c:v>-0.4224794612450925</c:v>
                </c:pt>
                <c:pt idx="139" formatCode="0.000">
                  <c:v>-0.4224794612450925</c:v>
                </c:pt>
                <c:pt idx="140" formatCode="0.000">
                  <c:v>-0.4224794612450925</c:v>
                </c:pt>
                <c:pt idx="141" formatCode="0.000">
                  <c:v>-0.4224794612450925</c:v>
                </c:pt>
                <c:pt idx="142" formatCode="0.000">
                  <c:v>-0.4224794612450925</c:v>
                </c:pt>
                <c:pt idx="143" formatCode="0.000">
                  <c:v>-0.4224794612450925</c:v>
                </c:pt>
                <c:pt idx="144" formatCode="0.000">
                  <c:v>-0.4224794612450925</c:v>
                </c:pt>
                <c:pt idx="145" formatCode="0.000">
                  <c:v>-0.4224794612450925</c:v>
                </c:pt>
                <c:pt idx="146" formatCode="0.000">
                  <c:v>-0.4224794612450925</c:v>
                </c:pt>
                <c:pt idx="147" formatCode="0.000">
                  <c:v>-0.4224794612450925</c:v>
                </c:pt>
                <c:pt idx="148" formatCode="0.000">
                  <c:v>-0.4224794612450925</c:v>
                </c:pt>
                <c:pt idx="149" formatCode="0.000">
                  <c:v>-0.4224794612450925</c:v>
                </c:pt>
                <c:pt idx="150" formatCode="0.000">
                  <c:v>-0.4224794612450925</c:v>
                </c:pt>
                <c:pt idx="151" formatCode="0.000">
                  <c:v>-0.4224794612450925</c:v>
                </c:pt>
                <c:pt idx="152" formatCode="0.000">
                  <c:v>-0.4224794612450925</c:v>
                </c:pt>
                <c:pt idx="153" formatCode="0.000">
                  <c:v>-0.4224794612450925</c:v>
                </c:pt>
                <c:pt idx="154" formatCode="0.000">
                  <c:v>-0.4224794612450925</c:v>
                </c:pt>
                <c:pt idx="155" formatCode="0.000">
                  <c:v>-0.4224794612450925</c:v>
                </c:pt>
                <c:pt idx="156" formatCode="0.000">
                  <c:v>-0.4224794612450925</c:v>
                </c:pt>
                <c:pt idx="157" formatCode="0.000">
                  <c:v>-0.4224794612450925</c:v>
                </c:pt>
                <c:pt idx="158" formatCode="0.000">
                  <c:v>-0.4224794612450925</c:v>
                </c:pt>
                <c:pt idx="159" formatCode="0.000">
                  <c:v>-0.4224794612450925</c:v>
                </c:pt>
                <c:pt idx="160" formatCode="0.000">
                  <c:v>-0.4224794612450925</c:v>
                </c:pt>
                <c:pt idx="161" formatCode="0.000">
                  <c:v>-0.4224794612450925</c:v>
                </c:pt>
                <c:pt idx="162" formatCode="0.000">
                  <c:v>-0.4224794612450925</c:v>
                </c:pt>
                <c:pt idx="163" formatCode="0.000">
                  <c:v>-0.4224794612450925</c:v>
                </c:pt>
                <c:pt idx="164" formatCode="0.000">
                  <c:v>-0.4224794612450925</c:v>
                </c:pt>
                <c:pt idx="165" formatCode="0.000">
                  <c:v>-0.4224794612450925</c:v>
                </c:pt>
                <c:pt idx="166" formatCode="0.000">
                  <c:v>-0.4224794612450925</c:v>
                </c:pt>
                <c:pt idx="167" formatCode="0.000">
                  <c:v>-0.4224794612450925</c:v>
                </c:pt>
                <c:pt idx="168" formatCode="0.000">
                  <c:v>-0.4224794612450925</c:v>
                </c:pt>
                <c:pt idx="169" formatCode="0.000">
                  <c:v>-0.4224794612450925</c:v>
                </c:pt>
                <c:pt idx="170" formatCode="0.000">
                  <c:v>-0.4224794612450925</c:v>
                </c:pt>
                <c:pt idx="171" formatCode="0.000">
                  <c:v>-0.4224794612450925</c:v>
                </c:pt>
                <c:pt idx="172" formatCode="0.000">
                  <c:v>-0.4224794612450925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76-A648-972C-2F73C8190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45888"/>
        <c:axId val="159072640"/>
      </c:scatterChart>
      <c:valAx>
        <c:axId val="159045888"/>
        <c:scaling>
          <c:orientation val="minMax"/>
          <c:max val="160"/>
          <c:min val="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McStas Z (m)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159072640"/>
        <c:crossesAt val="-0.5"/>
        <c:crossBetween val="midCat"/>
        <c:majorUnit val="10"/>
        <c:minorUnit val="1"/>
      </c:valAx>
      <c:valAx>
        <c:axId val="159072640"/>
        <c:scaling>
          <c:orientation val="minMax"/>
          <c:max val="0.5"/>
          <c:min val="-0.5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McStas X,Y (m)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159045888"/>
        <c:crosses val="autoZero"/>
        <c:crossBetween val="midCat"/>
        <c:majorUnit val="0.1"/>
        <c:minorUnit val="1.0000000000000002E-2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73752385047433"/>
          <c:y val="9.7708119818356046E-2"/>
          <c:w val="0.19654575260003762"/>
          <c:h val="0.2183403741199016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9" workbookViewId="0"/>
  </sheetViews>
  <pageMargins left="0.7" right="0.7" top="0.78740157499999996" bottom="0.78740157499999996" header="0.3" footer="0.3"/>
  <pageSetup paperSize="8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49" workbookViewId="0" zoomToFit="1"/>
  </sheetViews>
  <pageMargins left="0.7" right="0.7" top="0.78740157499999996" bottom="0.78740157499999996" header="0.3" footer="0.3"/>
  <pageSetup paperSize="8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9" workbookViewId="0" zoomToFit="1"/>
  </sheetViews>
  <pageMargins left="0.7" right="0.7" top="0.78740157499999996" bottom="0.78740157499999996" header="0.3" footer="0.3"/>
  <pageSetup paperSize="8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7203697" cy="1146201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739866" cy="915422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739866" cy="915422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0"/>
  <sheetViews>
    <sheetView tabSelected="1" zoomScaleNormal="100" workbookViewId="0">
      <pane ySplit="3180" topLeftCell="A138" activePane="bottomLeft"/>
      <selection activeCell="H3" sqref="A1:XFD1048576"/>
      <selection pane="bottomLeft" activeCell="M145" sqref="M145"/>
    </sheetView>
  </sheetViews>
  <sheetFormatPr baseColWidth="10" defaultColWidth="13.33203125" defaultRowHeight="15" x14ac:dyDescent="0.2"/>
  <cols>
    <col min="1" max="1" width="13.33203125" style="10" customWidth="1"/>
    <col min="2" max="4" width="13.33203125" style="10"/>
    <col min="5" max="5" width="13.33203125" style="37"/>
    <col min="6" max="6" width="13.33203125" style="263"/>
    <col min="7" max="7" width="13.33203125" style="37"/>
    <col min="8" max="8" width="13.33203125" style="297"/>
    <col min="9" max="10" width="13.33203125" style="37"/>
    <col min="11" max="11" width="13.33203125" style="297"/>
    <col min="12" max="13" width="13.33203125" style="321"/>
    <col min="14" max="14" width="13.33203125" style="37"/>
    <col min="15" max="15" width="13.33203125" style="415"/>
    <col min="16" max="16" width="13.33203125" style="416"/>
    <col min="17" max="17" width="13.33203125" style="14"/>
    <col min="18" max="18" width="13.33203125" style="16"/>
    <col min="19" max="22" width="13.33203125" style="174"/>
    <col min="23" max="23" width="13.33203125" style="14"/>
    <col min="24" max="25" width="13.33203125" style="15"/>
    <col min="26" max="26" width="13.33203125" style="16"/>
    <col min="27" max="27" width="13.33203125" style="443"/>
    <col min="28" max="33" width="13.33203125" style="10"/>
  </cols>
  <sheetData>
    <row r="1" spans="1:33" x14ac:dyDescent="0.2">
      <c r="A1" s="9"/>
      <c r="B1" s="9"/>
      <c r="C1" s="9"/>
      <c r="D1" s="230"/>
      <c r="E1" s="9"/>
      <c r="F1" s="230"/>
      <c r="G1" s="9" t="s">
        <v>143</v>
      </c>
      <c r="H1" s="264"/>
      <c r="I1" s="9"/>
      <c r="J1" s="9" t="s">
        <v>145</v>
      </c>
      <c r="K1" s="264"/>
      <c r="L1" s="320"/>
      <c r="M1" s="9" t="s">
        <v>145</v>
      </c>
      <c r="N1" s="34"/>
      <c r="O1" s="466"/>
      <c r="P1" s="413"/>
      <c r="Q1" s="488" t="s">
        <v>195</v>
      </c>
      <c r="R1" s="490"/>
      <c r="S1" s="491" t="s">
        <v>198</v>
      </c>
      <c r="T1" s="492"/>
      <c r="U1" s="492"/>
      <c r="V1" s="493"/>
      <c r="W1" s="488" t="s">
        <v>190</v>
      </c>
      <c r="X1" s="489"/>
      <c r="Y1" s="489"/>
      <c r="Z1" s="490"/>
      <c r="AA1" s="417"/>
      <c r="AB1" s="9"/>
      <c r="AD1" t="s">
        <v>146</v>
      </c>
      <c r="AE1"/>
      <c r="AF1"/>
      <c r="AG1"/>
    </row>
    <row r="2" spans="1:33" ht="16" thickBot="1" x14ac:dyDescent="0.25">
      <c r="A2" s="9" t="s">
        <v>21</v>
      </c>
      <c r="B2" s="9" t="s">
        <v>61</v>
      </c>
      <c r="C2" s="9" t="s">
        <v>23</v>
      </c>
      <c r="D2" s="230" t="s">
        <v>157</v>
      </c>
      <c r="E2" s="9" t="s">
        <v>142</v>
      </c>
      <c r="F2" s="230" t="s">
        <v>140</v>
      </c>
      <c r="G2" s="9" t="s">
        <v>141</v>
      </c>
      <c r="H2" s="264" t="s">
        <v>25</v>
      </c>
      <c r="I2" s="9" t="s">
        <v>140</v>
      </c>
      <c r="J2" s="9" t="s">
        <v>141</v>
      </c>
      <c r="K2" s="264" t="s">
        <v>25</v>
      </c>
      <c r="L2" s="320" t="s">
        <v>155</v>
      </c>
      <c r="M2" s="320" t="s">
        <v>156</v>
      </c>
      <c r="N2" s="34" t="s">
        <v>26</v>
      </c>
      <c r="O2" s="467" t="s">
        <v>271</v>
      </c>
      <c r="P2" s="413" t="s">
        <v>184</v>
      </c>
      <c r="Q2" s="394" t="s">
        <v>196</v>
      </c>
      <c r="R2" s="395" t="s">
        <v>197</v>
      </c>
      <c r="S2" s="147" t="s">
        <v>202</v>
      </c>
      <c r="T2" s="147" t="s">
        <v>199</v>
      </c>
      <c r="U2" s="147" t="s">
        <v>200</v>
      </c>
      <c r="V2" s="147" t="s">
        <v>201</v>
      </c>
      <c r="W2" s="394" t="s">
        <v>191</v>
      </c>
      <c r="X2" s="320" t="s">
        <v>192</v>
      </c>
      <c r="Y2" s="320" t="s">
        <v>193</v>
      </c>
      <c r="Z2" s="395" t="s">
        <v>194</v>
      </c>
      <c r="AA2" s="417" t="s">
        <v>22</v>
      </c>
      <c r="AB2" s="9" t="s">
        <v>30</v>
      </c>
      <c r="AE2">
        <v>1.6299999999999999E-2</v>
      </c>
      <c r="AF2">
        <v>0</v>
      </c>
      <c r="AG2">
        <v>1.9042399999999999</v>
      </c>
    </row>
    <row r="3" spans="1:33" x14ac:dyDescent="0.2">
      <c r="A3" s="47">
        <v>1</v>
      </c>
      <c r="B3" s="39"/>
      <c r="C3" s="39" t="s">
        <v>110</v>
      </c>
      <c r="D3" s="445">
        <v>0</v>
      </c>
      <c r="E3" s="456">
        <v>0.5</v>
      </c>
      <c r="F3" s="231">
        <f>(COS('Coords-Trans'!$T$4)*((COS(-banglerad)*K3+SIN(-banglerad)*I3)*1000+'Coords-Trans'!$J$8-'Coords-Trans'!$J$10)+SIN('Coords-Trans'!$T$4)*((-SIN(-banglerad)*K3+COS(-banglerad)*I3)*1000+'Coords-Trans'!$K$8-'Coords-Trans'!$K$10))</f>
        <v>1879.9388780356139</v>
      </c>
      <c r="G3" s="379">
        <f>(-SIN('Coords-Trans'!$T$4)*((COS(-banglerad)*K3+SIN(-banglerad)*I3)*1000+'Coords-Trans'!$J$8-'Coords-Trans'!$J$10)+COS('Coords-Trans'!$T$4)*((-SIN(-banglerad)*K3+COS(-banglerad)*I3)*1000+'Coords-Trans'!$K$8-'Coords-Trans'!$K$10))</f>
        <v>-5.0296957369937445E-3</v>
      </c>
      <c r="H3" s="265">
        <f>(J3*1000)</f>
        <v>0</v>
      </c>
      <c r="I3" s="345">
        <f>pdx</f>
        <v>1.6299999999999999E-2</v>
      </c>
      <c r="J3" s="322">
        <f>pdy</f>
        <v>0</v>
      </c>
      <c r="K3" s="323">
        <f>pdz</f>
        <v>1.9042399999999999</v>
      </c>
      <c r="L3" s="345">
        <f>I3-SIN(E3/180*PI())*O3</f>
        <v>1.1936732250813032E-2</v>
      </c>
      <c r="M3" s="322">
        <f>J3+SIN(D3/180*PI())*O3</f>
        <v>0</v>
      </c>
      <c r="N3" s="323">
        <f>K3+O3*COS(E3*PI()/180)*COS(D3*PI()/180)</f>
        <v>2.4042209615320855</v>
      </c>
      <c r="O3" s="38">
        <v>0.5</v>
      </c>
      <c r="P3" s="38">
        <f>2*4000*ASIN(O3/2/4000)+1.90556</f>
        <v>2.4055600003255209</v>
      </c>
      <c r="Q3" s="47" t="s">
        <v>33</v>
      </c>
      <c r="R3" s="40" t="s">
        <v>33</v>
      </c>
      <c r="S3" s="148">
        <v>45</v>
      </c>
      <c r="T3" s="148">
        <v>53.35</v>
      </c>
      <c r="U3" s="148">
        <v>43</v>
      </c>
      <c r="V3" s="148">
        <v>47</v>
      </c>
      <c r="W3" s="47">
        <v>4</v>
      </c>
      <c r="X3" s="39">
        <v>3.5</v>
      </c>
      <c r="Y3" s="39">
        <v>3</v>
      </c>
      <c r="Z3" s="40">
        <v>3.5</v>
      </c>
      <c r="AA3" s="418" t="s">
        <v>24</v>
      </c>
      <c r="AB3" s="40" t="s">
        <v>131</v>
      </c>
      <c r="AD3" s="10" t="s">
        <v>147</v>
      </c>
      <c r="AE3" s="10" t="s">
        <v>148</v>
      </c>
      <c r="AF3" s="10" t="s">
        <v>149</v>
      </c>
      <c r="AG3" s="10" t="s">
        <v>150</v>
      </c>
    </row>
    <row r="4" spans="1:33" x14ac:dyDescent="0.2">
      <c r="A4" s="48">
        <v>1</v>
      </c>
      <c r="B4" s="42"/>
      <c r="C4" s="42" t="s">
        <v>111</v>
      </c>
      <c r="D4" s="446">
        <f>D3-O4/3200*180/PI()</f>
        <v>-8.952465548919113E-3</v>
      </c>
      <c r="E4" s="457">
        <f>E3-O4/8000*180/PI()</f>
        <v>0.49641901378043235</v>
      </c>
      <c r="F4" s="232">
        <f>(COS('Coords-Trans'!$T$4)*((COS(-banglerad)*K4+SIN(-banglerad)*I4)*1000+'Coords-Trans'!$J$8-'Coords-Trans'!$J$10)+SIN('Coords-Trans'!$T$4)*((-SIN(-banglerad)*K4+COS(-banglerad)*I4)*1000+'Coords-Trans'!$K$8-'Coords-Trans'!$K$10))</f>
        <v>2379.9388780356139</v>
      </c>
      <c r="G4" s="380">
        <f>(-SIN('Coords-Trans'!$T$4)*((COS(-banglerad)*K4+SIN(-banglerad)*I4)*1000+'Coords-Trans'!$J$8-'Coords-Trans'!$J$10)+COS('Coords-Trans'!$T$4)*((-SIN(-banglerad)*K4+COS(-banglerad)*I4)*1000+'Coords-Trans'!$K$8-'Coords-Trans'!$K$10))</f>
        <v>-5.0296957367663708E-3</v>
      </c>
      <c r="H4" s="266">
        <f t="shared" ref="H4:H68" si="0">(J4*1000)</f>
        <v>0</v>
      </c>
      <c r="I4" s="346">
        <f>L3</f>
        <v>1.1936732250813032E-2</v>
      </c>
      <c r="J4" s="324">
        <f>M3</f>
        <v>0</v>
      </c>
      <c r="K4" s="325">
        <f>N3</f>
        <v>2.4042209615320855</v>
      </c>
      <c r="L4" s="346">
        <f t="shared" ref="L4:L65" si="1">I4-SIN(E4/180*PI())*O4</f>
        <v>7.6047133202234831E-3</v>
      </c>
      <c r="M4" s="324">
        <f t="shared" ref="M4:M65" si="2">J4+SIN(D4/180*PI())*O4</f>
        <v>-7.8124999682108564E-5</v>
      </c>
      <c r="N4" s="325">
        <f t="shared" ref="N4:N65" si="3">K4+O4*COS(E4*PI()/180)*COS(D4*PI()/180)</f>
        <v>2.9042021886885934</v>
      </c>
      <c r="O4" s="41">
        <v>0.5</v>
      </c>
      <c r="P4" s="41">
        <f>P3+2*4000*ASIN(2*1600*ASIN(O4/2/1600)/4000/2)</f>
        <v>2.9055600026855473</v>
      </c>
      <c r="Q4" s="48">
        <v>4000</v>
      </c>
      <c r="R4" s="43">
        <v>1600</v>
      </c>
      <c r="S4" s="149">
        <v>53.35</v>
      </c>
      <c r="T4" s="149">
        <v>61.7</v>
      </c>
      <c r="U4" s="149">
        <v>47</v>
      </c>
      <c r="V4" s="149">
        <v>51</v>
      </c>
      <c r="W4" s="48">
        <v>4</v>
      </c>
      <c r="X4" s="42">
        <v>3.5</v>
      </c>
      <c r="Y4" s="42">
        <v>3</v>
      </c>
      <c r="Z4" s="43">
        <v>3.5</v>
      </c>
      <c r="AA4" s="419" t="s">
        <v>24</v>
      </c>
      <c r="AB4" s="43" t="s">
        <v>131</v>
      </c>
      <c r="AE4" s="10">
        <v>-7.9836599999999994E-2</v>
      </c>
      <c r="AF4" s="10">
        <v>-5.3034299999999999E-2</v>
      </c>
      <c r="AG4" s="10">
        <v>15.444800000000001</v>
      </c>
    </row>
    <row r="5" spans="1:33" x14ac:dyDescent="0.2">
      <c r="A5" s="48">
        <v>1</v>
      </c>
      <c r="B5" s="42"/>
      <c r="C5" s="42" t="s">
        <v>112</v>
      </c>
      <c r="D5" s="446">
        <f>D4-(O4/3200+O5/3200)*180/PI()</f>
        <v>-2.6857396646757341E-2</v>
      </c>
      <c r="E5" s="457">
        <f t="shared" ref="E5:E64" si="4">E4-O4/8000*180/PI()-O5/8000*180/PI()</f>
        <v>0.48925704134129705</v>
      </c>
      <c r="F5" s="232">
        <f>(COS('Coords-Trans'!$T$4)*((COS(-banglerad)*K5+SIN(-banglerad)*I5)*1000+'Coords-Trans'!$J$8-'Coords-Trans'!$J$10)+SIN('Coords-Trans'!$T$4)*((-SIN(-banglerad)*K5+COS(-banglerad)*I5)*1000+'Coords-Trans'!$K$8-'Coords-Trans'!$K$10))</f>
        <v>2879.9388709559971</v>
      </c>
      <c r="G5" s="380">
        <f>(-SIN('Coords-Trans'!$T$4)*((COS(-banglerad)*K5+SIN(-banglerad)*I5)*1000+'Coords-Trans'!$J$8-'Coords-Trans'!$J$10)+COS('Coords-Trans'!$T$4)*((-SIN(-banglerad)*K5+COS(-banglerad)*I5)*1000+'Coords-Trans'!$K$8-'Coords-Trans'!$K$10))</f>
        <v>2.6220250982532889E-2</v>
      </c>
      <c r="H5" s="266">
        <f t="shared" si="0"/>
        <v>-7.8124999682108565E-2</v>
      </c>
      <c r="I5" s="346">
        <f t="shared" ref="I5:I8" si="5">L4</f>
        <v>7.6047133202234831E-3</v>
      </c>
      <c r="J5" s="324">
        <f t="shared" ref="J5:J8" si="6">M4</f>
        <v>-7.8124999682108564E-5</v>
      </c>
      <c r="K5" s="325">
        <f t="shared" ref="K5:K8" si="7">N4</f>
        <v>2.9042021886885934</v>
      </c>
      <c r="L5" s="346">
        <f t="shared" si="1"/>
        <v>3.3351920774725517E-3</v>
      </c>
      <c r="M5" s="324">
        <f t="shared" si="2"/>
        <v>-3.1249999109903985E-4</v>
      </c>
      <c r="N5" s="325">
        <f t="shared" si="3"/>
        <v>3.4041839046150124</v>
      </c>
      <c r="O5" s="41">
        <v>0.5</v>
      </c>
      <c r="P5" s="41">
        <f t="shared" ref="P5:P65" si="8">P4+2*4000*ASIN(2*1600*ASIN(O5/2/1600)/4000/2)</f>
        <v>3.4055600050455732</v>
      </c>
      <c r="Q5" s="48">
        <v>4000</v>
      </c>
      <c r="R5" s="43">
        <v>1600</v>
      </c>
      <c r="S5" s="149">
        <v>61.7</v>
      </c>
      <c r="T5" s="149">
        <v>70</v>
      </c>
      <c r="U5" s="149">
        <v>51</v>
      </c>
      <c r="V5" s="149">
        <v>55</v>
      </c>
      <c r="W5" s="48">
        <v>4</v>
      </c>
      <c r="X5" s="42">
        <v>3.5</v>
      </c>
      <c r="Y5" s="42">
        <v>3</v>
      </c>
      <c r="Z5" s="43">
        <v>3.5</v>
      </c>
      <c r="AA5" s="419" t="s">
        <v>24</v>
      </c>
      <c r="AB5" s="43" t="s">
        <v>131</v>
      </c>
      <c r="AD5" s="10" t="s">
        <v>151</v>
      </c>
      <c r="AE5" s="10" t="s">
        <v>152</v>
      </c>
      <c r="AF5" s="10" t="s">
        <v>153</v>
      </c>
      <c r="AG5" s="10" t="s">
        <v>154</v>
      </c>
    </row>
    <row r="6" spans="1:33" x14ac:dyDescent="0.2">
      <c r="A6" s="49">
        <v>2</v>
      </c>
      <c r="B6" s="50"/>
      <c r="C6" s="50" t="s">
        <v>113</v>
      </c>
      <c r="D6" s="446">
        <f t="shared" ref="D6:D39" si="9">D5-(O5/3200+O6/3200)*180/PI()</f>
        <v>-4.476232774459557E-2</v>
      </c>
      <c r="E6" s="457">
        <f t="shared" si="4"/>
        <v>0.48209506890216175</v>
      </c>
      <c r="F6" s="232">
        <f>(COS('Coords-Trans'!$T$4)*((COS(-banglerad)*K6+SIN(-banglerad)*I6)*1000+'Coords-Trans'!$J$8-'Coords-Trans'!$J$10)+SIN('Coords-Trans'!$T$4)*((-SIN(-banglerad)*K6+COS(-banglerad)*I6)*1000+'Coords-Trans'!$K$8-'Coords-Trans'!$K$10))</f>
        <v>3379.9388072393895</v>
      </c>
      <c r="G6" s="380">
        <f>(-SIN('Coords-Trans'!$T$4)*((COS(-banglerad)*K6+SIN(-banglerad)*I6)*1000+'Coords-Trans'!$J$8-'Coords-Trans'!$J$10)+COS('Coords-Trans'!$T$4)*((-SIN(-banglerad)*K6+COS(-banglerad)*I6)*1000+'Coords-Trans'!$K$8-'Coords-Trans'!$K$10))</f>
        <v>0.11996977108788087</v>
      </c>
      <c r="H6" s="266">
        <f t="shared" si="0"/>
        <v>-0.31249999109903986</v>
      </c>
      <c r="I6" s="346">
        <f t="shared" si="5"/>
        <v>3.3351920774725517E-3</v>
      </c>
      <c r="J6" s="324">
        <f t="shared" si="6"/>
        <v>-3.1249999109903985E-4</v>
      </c>
      <c r="K6" s="325">
        <f t="shared" si="7"/>
        <v>3.4041839046150124</v>
      </c>
      <c r="L6" s="346">
        <f t="shared" si="1"/>
        <v>-8.7183141072849201E-4</v>
      </c>
      <c r="M6" s="324">
        <f t="shared" si="2"/>
        <v>-7.0312495136261137E-4</v>
      </c>
      <c r="N6" s="325">
        <f t="shared" si="3"/>
        <v>3.9041660526726334</v>
      </c>
      <c r="O6" s="41">
        <v>0.5</v>
      </c>
      <c r="P6" s="41">
        <f t="shared" si="8"/>
        <v>3.9055600074055992</v>
      </c>
      <c r="Q6" s="48">
        <v>4000</v>
      </c>
      <c r="R6" s="43">
        <v>1600</v>
      </c>
      <c r="S6" s="149">
        <v>70</v>
      </c>
      <c r="T6" s="149">
        <v>70</v>
      </c>
      <c r="U6" s="149">
        <v>55</v>
      </c>
      <c r="V6" s="149">
        <v>55</v>
      </c>
      <c r="W6" s="48">
        <v>3.5</v>
      </c>
      <c r="X6" s="42">
        <v>3</v>
      </c>
      <c r="Y6" s="42">
        <v>3</v>
      </c>
      <c r="Z6" s="43">
        <v>3.5</v>
      </c>
      <c r="AA6" s="419" t="s">
        <v>24</v>
      </c>
      <c r="AB6" s="43" t="s">
        <v>131</v>
      </c>
      <c r="AE6" s="10">
        <v>-0.103952</v>
      </c>
      <c r="AF6" s="10">
        <v>-0.101822</v>
      </c>
      <c r="AG6" s="10">
        <v>20.480499999999999</v>
      </c>
    </row>
    <row r="7" spans="1:33" x14ac:dyDescent="0.2">
      <c r="A7" s="49">
        <v>2</v>
      </c>
      <c r="B7" s="50"/>
      <c r="C7" s="50" t="s">
        <v>114</v>
      </c>
      <c r="D7" s="446">
        <f t="shared" si="9"/>
        <v>-6.2667258842433793E-2</v>
      </c>
      <c r="E7" s="457">
        <f t="shared" si="4"/>
        <v>0.47493309646302645</v>
      </c>
      <c r="F7" s="232">
        <f>(COS('Coords-Trans'!$T$4)*((COS(-banglerad)*K7+SIN(-banglerad)*I7)*1000+'Coords-Trans'!$J$8-'Coords-Trans'!$J$10)+SIN('Coords-Trans'!$T$4)*((-SIN(-banglerad)*K7+COS(-banglerad)*I7)*1000+'Coords-Trans'!$K$8-'Coords-Trans'!$K$10))</f>
        <v>3879.9386302486555</v>
      </c>
      <c r="G7" s="194">
        <f>(-SIN('Coords-Trans'!$T$4)*((COS(-banglerad)*K7+SIN(-banglerad)*I7)*1000+'Coords-Trans'!$J$8-'Coords-Trans'!$J$10)+COS('Coords-Trans'!$T$4)*((-SIN(-banglerad)*K7+COS(-banglerad)*I7)*1000+'Coords-Trans'!$K$8-'Coords-Trans'!$K$10))</f>
        <v>0.27621843702831939</v>
      </c>
      <c r="H7" s="266">
        <f t="shared" si="0"/>
        <v>-0.70312495136261133</v>
      </c>
      <c r="I7" s="346">
        <f t="shared" si="5"/>
        <v>-8.7183141072849201E-4</v>
      </c>
      <c r="J7" s="324">
        <f t="shared" si="6"/>
        <v>-7.0312495136261137E-4</v>
      </c>
      <c r="K7" s="325">
        <f t="shared" si="7"/>
        <v>3.9041660526726334</v>
      </c>
      <c r="L7" s="346">
        <f t="shared" si="1"/>
        <v>-5.0163570786449056E-3</v>
      </c>
      <c r="M7" s="324">
        <f t="shared" si="2"/>
        <v>-1.2499998423258544E-3</v>
      </c>
      <c r="N7" s="325">
        <f t="shared" si="3"/>
        <v>4.4041485762225978</v>
      </c>
      <c r="O7" s="41">
        <v>0.5</v>
      </c>
      <c r="P7" s="41">
        <f t="shared" si="8"/>
        <v>4.4055600097656251</v>
      </c>
      <c r="Q7" s="48">
        <v>4000</v>
      </c>
      <c r="R7" s="43">
        <v>1600</v>
      </c>
      <c r="S7" s="149">
        <v>70</v>
      </c>
      <c r="T7" s="149">
        <v>70</v>
      </c>
      <c r="U7" s="149">
        <v>55</v>
      </c>
      <c r="V7" s="149">
        <v>55</v>
      </c>
      <c r="W7" s="48">
        <v>3.5</v>
      </c>
      <c r="X7" s="42">
        <v>3</v>
      </c>
      <c r="Y7" s="42">
        <v>3</v>
      </c>
      <c r="Z7" s="43">
        <v>3.5</v>
      </c>
      <c r="AA7" s="419" t="s">
        <v>24</v>
      </c>
      <c r="AB7" s="43" t="s">
        <v>131</v>
      </c>
    </row>
    <row r="8" spans="1:33" x14ac:dyDescent="0.2">
      <c r="A8" s="49">
        <v>2</v>
      </c>
      <c r="B8" s="50"/>
      <c r="C8" s="50" t="s">
        <v>115</v>
      </c>
      <c r="D8" s="446">
        <f t="shared" si="9"/>
        <v>-8.0572189940272015E-2</v>
      </c>
      <c r="E8" s="457">
        <f t="shared" si="4"/>
        <v>0.46777112402389115</v>
      </c>
      <c r="F8" s="232">
        <f>(COS('Coords-Trans'!$T$4)*((COS(-banglerad)*K8+SIN(-banglerad)*I8)*1000+'Coords-Trans'!$J$8-'Coords-Trans'!$J$10)+SIN('Coords-Trans'!$T$4)*((-SIN(-banglerad)*K8+COS(-banglerad)*I8)*1000+'Coords-Trans'!$K$8-'Coords-Trans'!$K$10))</f>
        <v>4379.9382833465206</v>
      </c>
      <c r="G8" s="194">
        <f>(-SIN('Coords-Trans'!$T$4)*((COS(-banglerad)*K8+SIN(-banglerad)*I8)*1000+'Coords-Trans'!$J$8-'Coords-Trans'!$J$10)+COS('Coords-Trans'!$T$4)*((-SIN(-banglerad)*K8+COS(-banglerad)*I8)*1000+'Coords-Trans'!$K$8-'Coords-Trans'!$K$10))</f>
        <v>0.49496582027495606</v>
      </c>
      <c r="H8" s="266">
        <f t="shared" si="0"/>
        <v>-1.2499998423258543</v>
      </c>
      <c r="I8" s="346">
        <f t="shared" si="5"/>
        <v>-5.0163570786449056E-3</v>
      </c>
      <c r="J8" s="324">
        <f t="shared" si="6"/>
        <v>-1.2499998423258544E-3</v>
      </c>
      <c r="K8" s="325">
        <f t="shared" si="7"/>
        <v>4.4041485762225978</v>
      </c>
      <c r="L8" s="346">
        <f t="shared" si="1"/>
        <v>-9.0983848615184774E-3</v>
      </c>
      <c r="M8" s="324">
        <f t="shared" si="2"/>
        <v>-1.9531246105830183E-3</v>
      </c>
      <c r="N8" s="325">
        <f t="shared" si="3"/>
        <v>4.9041314186259068</v>
      </c>
      <c r="O8" s="41">
        <v>0.5</v>
      </c>
      <c r="P8" s="41">
        <f t="shared" si="8"/>
        <v>4.9055600121256511</v>
      </c>
      <c r="Q8" s="48">
        <v>4000</v>
      </c>
      <c r="R8" s="43">
        <v>1600</v>
      </c>
      <c r="S8" s="149">
        <v>70</v>
      </c>
      <c r="T8" s="149">
        <v>70</v>
      </c>
      <c r="U8" s="149">
        <v>55</v>
      </c>
      <c r="V8" s="149">
        <v>55</v>
      </c>
      <c r="W8" s="48">
        <v>3.5</v>
      </c>
      <c r="X8" s="42">
        <v>3</v>
      </c>
      <c r="Y8" s="42">
        <v>3</v>
      </c>
      <c r="Z8" s="43">
        <v>3.5</v>
      </c>
      <c r="AA8" s="419" t="s">
        <v>24</v>
      </c>
      <c r="AB8" s="43" t="s">
        <v>131</v>
      </c>
      <c r="AD8" s="10" t="s">
        <v>170</v>
      </c>
      <c r="AE8" s="10" t="s">
        <v>171</v>
      </c>
      <c r="AF8" s="10" t="s">
        <v>172</v>
      </c>
      <c r="AG8" s="10" t="s">
        <v>173</v>
      </c>
    </row>
    <row r="9" spans="1:33" ht="16" thickBot="1" x14ac:dyDescent="0.25">
      <c r="A9" s="51">
        <v>2</v>
      </c>
      <c r="B9" s="45"/>
      <c r="C9" s="45" t="s">
        <v>116</v>
      </c>
      <c r="D9" s="447">
        <f t="shared" si="9"/>
        <v>-9.8119022416153473E-2</v>
      </c>
      <c r="E9" s="458">
        <f t="shared" si="4"/>
        <v>0.46075239103353854</v>
      </c>
      <c r="F9" s="233">
        <f>(COS('Coords-Trans'!$T$4)*((COS(-banglerad)*K9+SIN(-banglerad)*I9)*1000+'Coords-Trans'!$J$8-'Coords-Trans'!$J$10)+SIN('Coords-Trans'!$T$4)*((-SIN(-banglerad)*K9+COS(-banglerad)*I9)*1000+'Coords-Trans'!$K$8-'Coords-Trans'!$K$10))</f>
        <v>4879.9377098955756</v>
      </c>
      <c r="G9" s="195">
        <f>(-SIN('Coords-Trans'!$T$4)*((COS(-banglerad)*K9+SIN(-banglerad)*I9)*1000+'Coords-Trans'!$J$8-'Coords-Trans'!$J$10)+COS('Coords-Trans'!$T$4)*((-SIN(-banglerad)*K9+COS(-banglerad)*I9)*1000+'Coords-Trans'!$K$8-'Coords-Trans'!$K$10))</f>
        <v>0.77621149132210121</v>
      </c>
      <c r="H9" s="267">
        <f t="shared" si="0"/>
        <v>-1.9531246105830182</v>
      </c>
      <c r="I9" s="347">
        <f t="shared" ref="I9:K10" si="10">L8</f>
        <v>-9.0983848615184774E-3</v>
      </c>
      <c r="J9" s="326">
        <f t="shared" si="10"/>
        <v>-1.9531246105830183E-3</v>
      </c>
      <c r="K9" s="327">
        <f t="shared" si="10"/>
        <v>4.9041314186259068</v>
      </c>
      <c r="L9" s="347">
        <f t="shared" si="1"/>
        <v>-1.2958333463416986E-2</v>
      </c>
      <c r="M9" s="326">
        <f t="shared" si="2"/>
        <v>-2.7751242088091708E-3</v>
      </c>
      <c r="N9" s="327">
        <f t="shared" si="3"/>
        <v>5.3841151945570784</v>
      </c>
      <c r="O9" s="44">
        <v>0.48</v>
      </c>
      <c r="P9" s="44">
        <f>P8+2*4000*ASIN(2*1600*ASIN(O9/2/1600)/4000/2)</f>
        <v>5.3855600142136506</v>
      </c>
      <c r="Q9" s="51">
        <v>4000</v>
      </c>
      <c r="R9" s="46">
        <v>1600</v>
      </c>
      <c r="S9" s="150">
        <v>70</v>
      </c>
      <c r="T9" s="150">
        <v>70</v>
      </c>
      <c r="U9" s="150">
        <v>55</v>
      </c>
      <c r="V9" s="150">
        <v>55</v>
      </c>
      <c r="W9" s="51">
        <v>3.5</v>
      </c>
      <c r="X9" s="45">
        <v>3</v>
      </c>
      <c r="Y9" s="45">
        <v>3</v>
      </c>
      <c r="Z9" s="43">
        <v>3.5</v>
      </c>
      <c r="AA9" s="420" t="s">
        <v>24</v>
      </c>
      <c r="AB9" s="46" t="s">
        <v>131</v>
      </c>
      <c r="AE9" s="10">
        <v>-0.10106</v>
      </c>
      <c r="AF9" s="10">
        <v>-0.41577399999999998</v>
      </c>
      <c r="AG9" s="10">
        <v>54.558700000000002</v>
      </c>
    </row>
    <row r="10" spans="1:33" ht="16" thickBot="1" x14ac:dyDescent="0.25">
      <c r="A10" s="21" t="s">
        <v>29</v>
      </c>
      <c r="B10" s="33"/>
      <c r="C10" s="21" t="s">
        <v>117</v>
      </c>
      <c r="D10" s="369">
        <f t="shared" si="9"/>
        <v>-0.11598814365179602</v>
      </c>
      <c r="E10" s="298">
        <f t="shared" si="4"/>
        <v>0.45360474253928151</v>
      </c>
      <c r="F10" s="234">
        <f>(COS('Coords-Trans'!$T$4)*((COS(-banglerad)*K10+SIN(-banglerad)*I10)*1000+'Coords-Trans'!$J$8-'Coords-Trans'!$J$10)+SIN('Coords-Trans'!$T$4)*((-SIN(-banglerad)*K10+COS(-banglerad)*I10)*1000+'Coords-Trans'!$K$8-'Coords-Trans'!$K$10))</f>
        <v>5359.9368934938084</v>
      </c>
      <c r="G10" s="196">
        <f>(-SIN('Coords-Trans'!$T$4)*((COS(-banglerad)*K10+SIN(-banglerad)*I10)*1000+'Coords-Trans'!$J$8-'Coords-Trans'!$J$10)+COS('Coords-Trans'!$T$4)*((-SIN(-banglerad)*K10+COS(-banglerad)*I10)*1000+'Coords-Trans'!$K$8-'Coords-Trans'!$K$10))</f>
        <v>1.1050053237458997</v>
      </c>
      <c r="H10" s="268">
        <f t="shared" si="0"/>
        <v>-2.7751242088091708</v>
      </c>
      <c r="I10" s="348">
        <f t="shared" si="10"/>
        <v>-1.2958333463416986E-2</v>
      </c>
      <c r="J10" s="328">
        <f t="shared" si="10"/>
        <v>-2.7751242088091708E-3</v>
      </c>
      <c r="K10" s="329">
        <f t="shared" si="10"/>
        <v>5.3841151945570784</v>
      </c>
      <c r="L10" s="348">
        <f t="shared" si="1"/>
        <v>-1.7059242886817316E-2</v>
      </c>
      <c r="M10" s="328">
        <f t="shared" si="2"/>
        <v>-3.8237497425811359E-3</v>
      </c>
      <c r="N10" s="329">
        <f t="shared" si="3"/>
        <v>5.9020978998622944</v>
      </c>
      <c r="O10" s="67">
        <v>0.51800000000000002</v>
      </c>
      <c r="P10" s="67">
        <f t="shared" si="8"/>
        <v>5.9035600168378455</v>
      </c>
      <c r="Q10" s="64">
        <v>4000</v>
      </c>
      <c r="R10" s="68">
        <v>1600</v>
      </c>
      <c r="S10" s="151">
        <v>70</v>
      </c>
      <c r="T10" s="151">
        <v>70</v>
      </c>
      <c r="U10" s="151">
        <v>55</v>
      </c>
      <c r="V10" s="151">
        <v>55</v>
      </c>
      <c r="W10" s="396">
        <v>3.5</v>
      </c>
      <c r="X10" s="156">
        <v>3</v>
      </c>
      <c r="Y10" s="156">
        <v>3</v>
      </c>
      <c r="Z10" s="444">
        <v>3.5</v>
      </c>
      <c r="AA10" s="421" t="s">
        <v>175</v>
      </c>
      <c r="AB10" s="21" t="s">
        <v>174</v>
      </c>
    </row>
    <row r="11" spans="1:33" x14ac:dyDescent="0.2">
      <c r="A11" s="52">
        <v>2</v>
      </c>
      <c r="B11" s="53" t="s">
        <v>62</v>
      </c>
      <c r="C11" s="53" t="s">
        <v>118</v>
      </c>
      <c r="D11" s="448">
        <f t="shared" si="9"/>
        <v>-0.16431110015754069</v>
      </c>
      <c r="E11" s="459">
        <f t="shared" si="4"/>
        <v>0.43427555993698364</v>
      </c>
      <c r="F11" s="235">
        <f>(COS('Coords-Trans'!$T$4)*((COS(-banglerad)*K11+SIN(-banglerad)*I11)*1000+'Coords-Trans'!$J$8-'Coords-Trans'!$J$10)+SIN('Coords-Trans'!$T$4)*((-SIN(-banglerad)*K11+COS(-banglerad)*I11)*1000+'Coords-Trans'!$K$8-'Coords-Trans'!$K$10))</f>
        <v>5877.9356623364547</v>
      </c>
      <c r="G11" s="197">
        <f>(-SIN('Coords-Trans'!$T$4)*((COS(-banglerad)*K11+SIN(-banglerad)*I11)*1000+'Coords-Trans'!$J$8-'Coords-Trans'!$J$10)+COS('Coords-Trans'!$T$4)*((-SIN(-banglerad)*K11+COS(-banglerad)*I11)*1000+'Coords-Trans'!$K$8-'Coords-Trans'!$K$10))</f>
        <v>1.5244465158007188</v>
      </c>
      <c r="H11" s="269">
        <f t="shared" si="0"/>
        <v>-3.823749742581136</v>
      </c>
      <c r="I11" s="349">
        <f>L10</f>
        <v>-1.7059242886817316E-2</v>
      </c>
      <c r="J11" s="330">
        <f>M10</f>
        <v>-3.8237497425811359E-3</v>
      </c>
      <c r="K11" s="331">
        <f>N10</f>
        <v>5.9020978998622944</v>
      </c>
      <c r="L11" s="349">
        <f t="shared" si="1"/>
        <v>-3.3589019618580782E-2</v>
      </c>
      <c r="M11" s="330">
        <f t="shared" si="2"/>
        <v>-1.0077954062880871E-2</v>
      </c>
      <c r="N11" s="331">
        <f t="shared" si="3"/>
        <v>8.0828893130008641</v>
      </c>
      <c r="O11" s="54">
        <f>(bw1z-0.8-0.01325-N10-0.006)/4</f>
        <v>2.1808630250344265</v>
      </c>
      <c r="P11" s="54">
        <f t="shared" si="8"/>
        <v>8.0844232377080516</v>
      </c>
      <c r="Q11" s="52">
        <v>4000</v>
      </c>
      <c r="R11" s="55">
        <v>1600</v>
      </c>
      <c r="S11" s="152">
        <v>70</v>
      </c>
      <c r="T11" s="152">
        <v>70</v>
      </c>
      <c r="U11" s="152">
        <v>55</v>
      </c>
      <c r="V11" s="152">
        <v>55</v>
      </c>
      <c r="W11" s="397">
        <v>3.5</v>
      </c>
      <c r="X11" s="189">
        <v>3</v>
      </c>
      <c r="Y11" s="189">
        <v>3</v>
      </c>
      <c r="Z11" s="398">
        <v>3.5</v>
      </c>
      <c r="AA11" s="422" t="s">
        <v>32</v>
      </c>
      <c r="AB11" s="55"/>
    </row>
    <row r="12" spans="1:33" ht="16" x14ac:dyDescent="0.2">
      <c r="A12" s="56" t="s">
        <v>43</v>
      </c>
      <c r="B12" s="57" t="s">
        <v>62</v>
      </c>
      <c r="C12" s="57"/>
      <c r="D12" s="449">
        <f t="shared" si="9"/>
        <v>-0.20337720728570297</v>
      </c>
      <c r="E12" s="460">
        <f t="shared" si="4"/>
        <v>0.41864911708571867</v>
      </c>
      <c r="F12" s="236">
        <f>(COS('Coords-Trans'!$T$4)*((COS(-banglerad)*K12+SIN(-banglerad)*I12)*1000+'Coords-Trans'!$J$8-'Coords-Trans'!$J$10)+SIN('Coords-Trans'!$T$4)*((-SIN(-banglerad)*K12+COS(-banglerad)*I12)*1000+'Coords-Trans'!$K$8-'Coords-Trans'!$K$10))</f>
        <v>8058.7882853037599</v>
      </c>
      <c r="G12" s="198">
        <f>(-SIN('Coords-Trans'!$T$4)*((COS(-banglerad)*K12+SIN(-banglerad)*I12)*1000+'Coords-Trans'!$J$8-'Coords-Trans'!$J$10)+COS('Coords-Trans'!$T$4)*((-SIN(-banglerad)*K12+COS(-banglerad)*I12)*1000+'Coords-Trans'!$K$8-'Coords-Trans'!$K$10))</f>
        <v>4.0260528685880672</v>
      </c>
      <c r="H12" s="270">
        <f t="shared" si="0"/>
        <v>-10.07795406288087</v>
      </c>
      <c r="I12" s="350">
        <f t="shared" ref="I12:I21" si="11">L11</f>
        <v>-3.3589019618580782E-2</v>
      </c>
      <c r="J12" s="332">
        <f t="shared" ref="J12:J18" si="12">M11</f>
        <v>-1.0077954062880871E-2</v>
      </c>
      <c r="K12" s="333">
        <f t="shared" ref="K12:K18" si="13">N11</f>
        <v>8.0828893130008641</v>
      </c>
      <c r="L12" s="350">
        <f t="shared" si="1"/>
        <v>-3.3596326359067001E-2</v>
      </c>
      <c r="M12" s="332">
        <f t="shared" si="2"/>
        <v>-1.0081503657317551E-2</v>
      </c>
      <c r="N12" s="333">
        <f t="shared" si="3"/>
        <v>8.083889280006618</v>
      </c>
      <c r="O12" s="58">
        <v>1E-3</v>
      </c>
      <c r="P12" s="58">
        <f t="shared" si="8"/>
        <v>8.085423237708051</v>
      </c>
      <c r="Q12" s="56">
        <v>4000</v>
      </c>
      <c r="R12" s="59">
        <v>1600</v>
      </c>
      <c r="S12" s="153"/>
      <c r="T12" s="153"/>
      <c r="U12" s="153"/>
      <c r="V12" s="153"/>
      <c r="W12" s="399"/>
      <c r="X12" s="190"/>
      <c r="Y12" s="190"/>
      <c r="Z12" s="400"/>
      <c r="AA12" s="423"/>
      <c r="AB12" s="59"/>
      <c r="AE12" s="376"/>
    </row>
    <row r="13" spans="1:33" ht="16" thickBot="1" x14ac:dyDescent="0.25">
      <c r="A13" s="60">
        <v>2</v>
      </c>
      <c r="B13" s="61" t="s">
        <v>62</v>
      </c>
      <c r="C13" s="61" t="s">
        <v>119</v>
      </c>
      <c r="D13" s="450">
        <f t="shared" si="9"/>
        <v>-0.24244331441386524</v>
      </c>
      <c r="E13" s="461">
        <f t="shared" si="4"/>
        <v>0.4030226742344537</v>
      </c>
      <c r="F13" s="237">
        <f>(COS('Coords-Trans'!$T$4)*((COS(-banglerad)*K13+SIN(-banglerad)*I13)*1000+'Coords-Trans'!$J$8-'Coords-Trans'!$J$10)+SIN('Coords-Trans'!$T$4)*((-SIN(-banglerad)*K13+COS(-banglerad)*I13)*1000+'Coords-Trans'!$K$8-'Coords-Trans'!$K$10))</f>
        <v>8059.7882779963638</v>
      </c>
      <c r="G13" s="199">
        <f>(-SIN('Coords-Trans'!$T$4)*((COS(-banglerad)*K13+SIN(-banglerad)*I13)*1000+'Coords-Trans'!$J$8-'Coords-Trans'!$J$10)+COS('Coords-Trans'!$T$4)*((-SIN(-banglerad)*K13+COS(-banglerad)*I13)*1000+'Coords-Trans'!$K$8-'Coords-Trans'!$K$10))</f>
        <v>4.0274726538937102</v>
      </c>
      <c r="H13" s="271">
        <f t="shared" si="0"/>
        <v>-10.081503657317551</v>
      </c>
      <c r="I13" s="351">
        <f t="shared" si="11"/>
        <v>-3.3596326359067001E-2</v>
      </c>
      <c r="J13" s="334">
        <f t="shared" si="12"/>
        <v>-1.0081503657317551E-2</v>
      </c>
      <c r="K13" s="335">
        <f t="shared" si="13"/>
        <v>8.083889280006618</v>
      </c>
      <c r="L13" s="351">
        <f t="shared" si="1"/>
        <v>-4.8936548761837499E-2</v>
      </c>
      <c r="M13" s="334">
        <f t="shared" si="2"/>
        <v>-1.9309654259829487E-2</v>
      </c>
      <c r="N13" s="335">
        <f t="shared" si="3"/>
        <v>10.264678828997724</v>
      </c>
      <c r="O13" s="62">
        <f>O11</f>
        <v>2.1808630250344265</v>
      </c>
      <c r="P13" s="62">
        <f t="shared" si="8"/>
        <v>10.266286458578257</v>
      </c>
      <c r="Q13" s="60">
        <v>4000</v>
      </c>
      <c r="R13" s="63">
        <v>1600</v>
      </c>
      <c r="S13" s="154">
        <v>70</v>
      </c>
      <c r="T13" s="154">
        <v>70</v>
      </c>
      <c r="U13" s="154">
        <v>55</v>
      </c>
      <c r="V13" s="154">
        <v>55</v>
      </c>
      <c r="W13" s="401">
        <v>3.5</v>
      </c>
      <c r="X13" s="191">
        <v>3</v>
      </c>
      <c r="Y13" s="191">
        <v>3</v>
      </c>
      <c r="Z13" s="402">
        <v>3.5</v>
      </c>
      <c r="AA13" s="424" t="s">
        <v>32</v>
      </c>
      <c r="AB13" s="63"/>
    </row>
    <row r="14" spans="1:33" ht="16" thickBot="1" x14ac:dyDescent="0.25">
      <c r="A14" s="56" t="s">
        <v>43</v>
      </c>
      <c r="B14" s="57"/>
      <c r="C14" s="57"/>
      <c r="D14" s="449">
        <f t="shared" si="9"/>
        <v>-0.28152732647312539</v>
      </c>
      <c r="E14" s="460">
        <f t="shared" si="4"/>
        <v>0.38738906941074963</v>
      </c>
      <c r="F14" s="236">
        <f>(COS('Coords-Trans'!$T$4)*((COS(-banglerad)*K14+SIN(-banglerad)*I14)*1000+'Coords-Trans'!$J$8-'Coords-Trans'!$J$10)+SIN('Coords-Trans'!$T$4)*((-SIN(-banglerad)*K14+COS(-banglerad)*I14)*1000+'Coords-Trans'!$K$8-'Coords-Trans'!$K$10))</f>
        <v>10240.628656199107</v>
      </c>
      <c r="G14" s="198">
        <f>(-SIN('Coords-Trans'!$T$4)*((COS(-banglerad)*K14+SIN(-banglerad)*I14)*1000+'Coords-Trans'!$J$8-'Coords-Trans'!$J$10)+COS('Coords-Trans'!$T$4)*((-SIN(-banglerad)*K14+COS(-banglerad)*I14)*1000+'Coords-Trans'!$K$8-'Coords-Trans'!$K$10))</f>
        <v>7.718571773541953</v>
      </c>
      <c r="H14" s="270">
        <f t="shared" si="0"/>
        <v>-19.309654259829486</v>
      </c>
      <c r="I14" s="350">
        <f t="shared" si="11"/>
        <v>-4.8936548761837499E-2</v>
      </c>
      <c r="J14" s="332">
        <f t="shared" si="12"/>
        <v>-1.9309654259829487E-2</v>
      </c>
      <c r="K14" s="333">
        <f t="shared" si="13"/>
        <v>10.264678828997724</v>
      </c>
      <c r="L14" s="350">
        <f t="shared" si="1"/>
        <v>-4.8950071088305194E-2</v>
      </c>
      <c r="M14" s="332">
        <f t="shared" si="2"/>
        <v>-1.9319481377848856E-2</v>
      </c>
      <c r="N14" s="333">
        <f t="shared" si="3"/>
        <v>10.266678759141216</v>
      </c>
      <c r="O14" s="58">
        <v>2E-3</v>
      </c>
      <c r="P14" s="58">
        <f t="shared" si="8"/>
        <v>10.268286458578258</v>
      </c>
      <c r="Q14" s="56">
        <v>4000</v>
      </c>
      <c r="R14" s="59">
        <v>1600</v>
      </c>
      <c r="S14" s="153"/>
      <c r="T14" s="153"/>
      <c r="U14" s="153"/>
      <c r="V14" s="153"/>
      <c r="W14" s="399"/>
      <c r="X14" s="190"/>
      <c r="Y14" s="190"/>
      <c r="Z14" s="400"/>
      <c r="AA14" s="423"/>
      <c r="AB14" s="59"/>
    </row>
    <row r="15" spans="1:33" x14ac:dyDescent="0.2">
      <c r="A15" s="52">
        <v>2</v>
      </c>
      <c r="B15" s="53" t="s">
        <v>63</v>
      </c>
      <c r="C15" s="53" t="s">
        <v>122</v>
      </c>
      <c r="D15" s="448">
        <f t="shared" si="9"/>
        <v>-0.32061133853238555</v>
      </c>
      <c r="E15" s="459">
        <f t="shared" si="4"/>
        <v>0.37175546458704556</v>
      </c>
      <c r="F15" s="235">
        <f>(COS('Coords-Trans'!$T$4)*((COS(-banglerad)*K15+SIN(-banglerad)*I15)*1000+'Coords-Trans'!$J$8-'Coords-Trans'!$J$10)+SIN('Coords-Trans'!$T$4)*((-SIN(-banglerad)*K15+COS(-banglerad)*I15)*1000+'Coords-Trans'!$K$8-'Coords-Trans'!$K$10))</f>
        <v>10242.62862819445</v>
      </c>
      <c r="G15" s="197">
        <f>(-SIN('Coords-Trans'!$T$4)*((COS(-banglerad)*K15+SIN(-banglerad)*I15)*1000+'Coords-Trans'!$J$8-'Coords-Trans'!$J$10)+COS('Coords-Trans'!$T$4)*((-SIN(-banglerad)*K15+COS(-banglerad)*I15)*1000+'Coords-Trans'!$K$8-'Coords-Trans'!$K$10))</f>
        <v>7.7225024233539443</v>
      </c>
      <c r="H15" s="269">
        <f t="shared" si="0"/>
        <v>-19.319481377848856</v>
      </c>
      <c r="I15" s="349">
        <f t="shared" si="11"/>
        <v>-4.8950071088305194E-2</v>
      </c>
      <c r="J15" s="330">
        <f t="shared" si="12"/>
        <v>-1.9319481377848856E-2</v>
      </c>
      <c r="K15" s="331">
        <f t="shared" si="13"/>
        <v>10.266678759141216</v>
      </c>
      <c r="L15" s="349">
        <f t="shared" si="1"/>
        <v>-6.3100189393582723E-2</v>
      </c>
      <c r="M15" s="330">
        <f t="shared" si="2"/>
        <v>-3.1522924120139351E-2</v>
      </c>
      <c r="N15" s="331">
        <f t="shared" si="3"/>
        <v>12.447461735590025</v>
      </c>
      <c r="O15" s="54">
        <f>O11</f>
        <v>2.1808630250344265</v>
      </c>
      <c r="P15" s="54">
        <f t="shared" si="8"/>
        <v>12.449149679448464</v>
      </c>
      <c r="Q15" s="52">
        <v>4000</v>
      </c>
      <c r="R15" s="55">
        <v>1600</v>
      </c>
      <c r="S15" s="152">
        <v>70</v>
      </c>
      <c r="T15" s="152">
        <v>70</v>
      </c>
      <c r="U15" s="152">
        <v>55</v>
      </c>
      <c r="V15" s="152">
        <v>55</v>
      </c>
      <c r="W15" s="397">
        <v>3.5</v>
      </c>
      <c r="X15" s="189">
        <v>3</v>
      </c>
      <c r="Y15" s="189">
        <v>3</v>
      </c>
      <c r="Z15" s="398">
        <v>3.5</v>
      </c>
      <c r="AA15" s="422" t="s">
        <v>32</v>
      </c>
      <c r="AB15" s="55"/>
    </row>
    <row r="16" spans="1:33" x14ac:dyDescent="0.2">
      <c r="A16" s="56" t="s">
        <v>43</v>
      </c>
      <c r="B16" s="57" t="s">
        <v>63</v>
      </c>
      <c r="C16" s="57"/>
      <c r="D16" s="449">
        <f t="shared" si="9"/>
        <v>-0.35967744566054782</v>
      </c>
      <c r="E16" s="460">
        <f t="shared" si="4"/>
        <v>0.35612902173578059</v>
      </c>
      <c r="F16" s="236">
        <f>(COS('Coords-Trans'!$T$4)*((COS(-banglerad)*K16+SIN(-banglerad)*I16)*1000+'Coords-Trans'!$J$8-'Coords-Trans'!$J$10)+SIN('Coords-Trans'!$T$4)*((-SIN(-banglerad)*K16+COS(-banglerad)*I16)*1000+'Coords-Trans'!$K$8-'Coords-Trans'!$K$10))</f>
        <v>12423.452048619507</v>
      </c>
      <c r="G16" s="198">
        <f>(-SIN('Coords-Trans'!$T$4)*((COS(-banglerad)*K16+SIN(-banglerad)*I16)*1000+'Coords-Trans'!$J$8-'Coords-Trans'!$J$10)+COS('Coords-Trans'!$T$4)*((-SIN(-banglerad)*K16+COS(-banglerad)*I16)*1000+'Coords-Trans'!$K$8-'Coords-Trans'!$K$10))</f>
        <v>12.603602969454187</v>
      </c>
      <c r="H16" s="270">
        <f t="shared" si="0"/>
        <v>-31.522924120139351</v>
      </c>
      <c r="I16" s="350">
        <f t="shared" si="11"/>
        <v>-6.3100189393582723E-2</v>
      </c>
      <c r="J16" s="332">
        <f t="shared" si="12"/>
        <v>-3.1522924120139351E-2</v>
      </c>
      <c r="K16" s="333">
        <f t="shared" si="13"/>
        <v>12.447461735590025</v>
      </c>
      <c r="L16" s="350">
        <f t="shared" si="1"/>
        <v>-6.3106404977551614E-2</v>
      </c>
      <c r="M16" s="332">
        <f t="shared" si="2"/>
        <v>-3.1529201634580693E-2</v>
      </c>
      <c r="N16" s="333">
        <f t="shared" si="3"/>
        <v>12.448461696569689</v>
      </c>
      <c r="O16" s="58">
        <v>1E-3</v>
      </c>
      <c r="P16" s="58">
        <f t="shared" si="8"/>
        <v>12.450149679448463</v>
      </c>
      <c r="Q16" s="56"/>
      <c r="R16" s="59"/>
      <c r="S16" s="153"/>
      <c r="T16" s="153"/>
      <c r="U16" s="153"/>
      <c r="V16" s="153"/>
      <c r="W16" s="399"/>
      <c r="X16" s="190"/>
      <c r="Y16" s="190"/>
      <c r="Z16" s="400"/>
      <c r="AA16" s="423"/>
      <c r="AB16" s="59"/>
      <c r="AD16" s="10" t="s">
        <v>158</v>
      </c>
      <c r="AE16" s="10" t="s">
        <v>159</v>
      </c>
      <c r="AF16" s="10" t="s">
        <v>160</v>
      </c>
      <c r="AG16" s="10" t="s">
        <v>161</v>
      </c>
    </row>
    <row r="17" spans="1:33" ht="16" thickBot="1" x14ac:dyDescent="0.25">
      <c r="A17" s="60">
        <v>2</v>
      </c>
      <c r="B17" s="61" t="s">
        <v>63</v>
      </c>
      <c r="C17" s="61" t="s">
        <v>123</v>
      </c>
      <c r="D17" s="450">
        <f t="shared" si="9"/>
        <v>-0.3987435527887101</v>
      </c>
      <c r="E17" s="461">
        <f t="shared" si="4"/>
        <v>0.34050257888451563</v>
      </c>
      <c r="F17" s="237">
        <f>(COS('Coords-Trans'!$T$4)*((COS(-banglerad)*K17+SIN(-banglerad)*I17)*1000+'Coords-Trans'!$J$8-'Coords-Trans'!$J$10)+SIN('Coords-Trans'!$T$4)*((-SIN(-banglerad)*K17+COS(-banglerad)*I17)*1000+'Coords-Trans'!$K$8-'Coords-Trans'!$K$10))</f>
        <v>12424.452025764233</v>
      </c>
      <c r="G17" s="199">
        <f>(-SIN('Coords-Trans'!$T$4)*((COS(-banglerad)*K17+SIN(-banglerad)*I17)*1000+'Coords-Trans'!$J$8-'Coords-Trans'!$J$10)+COS('Coords-Trans'!$T$4)*((-SIN(-banglerad)*K17+COS(-banglerad)*I17)*1000+'Coords-Trans'!$K$8-'Coords-Trans'!$K$10))</f>
        <v>12.606113817141704</v>
      </c>
      <c r="H17" s="271">
        <f t="shared" si="0"/>
        <v>-31.529201634580694</v>
      </c>
      <c r="I17" s="351">
        <f t="shared" si="11"/>
        <v>-6.3106404977551614E-2</v>
      </c>
      <c r="J17" s="334">
        <f t="shared" si="12"/>
        <v>-3.1529201634580693E-2</v>
      </c>
      <c r="K17" s="335">
        <f t="shared" si="13"/>
        <v>12.448461696569689</v>
      </c>
      <c r="L17" s="351">
        <f t="shared" si="1"/>
        <v>-7.6066960177479312E-2</v>
      </c>
      <c r="M17" s="334">
        <f t="shared" si="2"/>
        <v>-4.6706550796182016E-2</v>
      </c>
      <c r="N17" s="335">
        <f t="shared" si="3"/>
        <v>14.629233398096263</v>
      </c>
      <c r="O17" s="62">
        <f>O11</f>
        <v>2.1808630250344265</v>
      </c>
      <c r="P17" s="62">
        <f t="shared" si="8"/>
        <v>14.63101290031867</v>
      </c>
      <c r="Q17" s="60">
        <v>4000</v>
      </c>
      <c r="R17" s="63">
        <v>1600</v>
      </c>
      <c r="S17" s="154">
        <v>70</v>
      </c>
      <c r="T17" s="154">
        <v>70</v>
      </c>
      <c r="U17" s="154">
        <v>55</v>
      </c>
      <c r="V17" s="154">
        <v>55</v>
      </c>
      <c r="W17" s="401">
        <v>3.5</v>
      </c>
      <c r="X17" s="191">
        <v>3</v>
      </c>
      <c r="Y17" s="191">
        <v>3</v>
      </c>
      <c r="Z17" s="402">
        <v>3.5</v>
      </c>
      <c r="AA17" s="424" t="s">
        <v>32</v>
      </c>
      <c r="AB17" s="63"/>
      <c r="AE17" s="10">
        <v>0.117316</v>
      </c>
      <c r="AF17" s="10">
        <v>-0.41577399999999998</v>
      </c>
      <c r="AG17" s="10">
        <v>105.66</v>
      </c>
    </row>
    <row r="18" spans="1:33" ht="16" thickBot="1" x14ac:dyDescent="0.25">
      <c r="A18" s="11" t="s">
        <v>43</v>
      </c>
      <c r="B18" s="11"/>
      <c r="C18" s="11"/>
      <c r="D18" s="449">
        <f t="shared" si="9"/>
        <v>-0.43782756484797025</v>
      </c>
      <c r="E18" s="460">
        <f t="shared" si="4"/>
        <v>0.32486897406081156</v>
      </c>
      <c r="F18" s="236">
        <f>(COS('Coords-Trans'!$T$4)*((COS(-banglerad)*K18+SIN(-banglerad)*I18)*1000+'Coords-Trans'!$J$8-'Coords-Trans'!$J$10)+SIN('Coords-Trans'!$T$4)*((-SIN(-banglerad)*K18+COS(-banglerad)*I18)*1000+'Coords-Trans'!$K$8-'Coords-Trans'!$K$10))</f>
        <v>14605.253790931702</v>
      </c>
      <c r="G18" s="200">
        <f>(-SIN('Coords-Trans'!$T$4)*((COS(-banglerad)*K18+SIN(-banglerad)*I18)*1000+'Coords-Trans'!$J$8-'Coords-Trans'!$J$10)+COS('Coords-Trans'!$T$4)*((-SIN(-banglerad)*K18+COS(-banglerad)*I18)*1000+'Coords-Trans'!$K$8-'Coords-Trans'!$K$10))</f>
        <v>18.676633782663885</v>
      </c>
      <c r="H18" s="270">
        <f t="shared" si="0"/>
        <v>-46.706550796182015</v>
      </c>
      <c r="I18" s="350">
        <f t="shared" si="11"/>
        <v>-7.6066960177479312E-2</v>
      </c>
      <c r="J18" s="336">
        <f t="shared" si="12"/>
        <v>-4.6706550796182016E-2</v>
      </c>
      <c r="K18" s="333">
        <f t="shared" si="13"/>
        <v>14.629233398096263</v>
      </c>
      <c r="L18" s="350">
        <f t="shared" si="1"/>
        <v>-7.6078300183186801E-2</v>
      </c>
      <c r="M18" s="336">
        <f t="shared" si="2"/>
        <v>-4.6721833712570236E-2</v>
      </c>
      <c r="N18" s="333">
        <f t="shared" si="3"/>
        <v>14.631233307555275</v>
      </c>
      <c r="O18" s="58">
        <v>2E-3</v>
      </c>
      <c r="P18" s="58">
        <f t="shared" si="8"/>
        <v>14.63301290031867</v>
      </c>
      <c r="Q18" s="56"/>
      <c r="R18" s="59"/>
      <c r="S18" s="155"/>
      <c r="T18" s="155"/>
      <c r="U18" s="155"/>
      <c r="V18" s="155"/>
      <c r="W18" s="399"/>
      <c r="X18" s="190"/>
      <c r="Y18" s="190"/>
      <c r="Z18" s="400"/>
      <c r="AA18" s="423"/>
      <c r="AB18" s="11"/>
      <c r="AD18" s="10" t="s">
        <v>165</v>
      </c>
      <c r="AE18" s="10" t="s">
        <v>162</v>
      </c>
      <c r="AF18" s="10" t="s">
        <v>163</v>
      </c>
      <c r="AG18" s="10" t="s">
        <v>164</v>
      </c>
    </row>
    <row r="19" spans="1:33" x14ac:dyDescent="0.2">
      <c r="A19" s="52">
        <v>2</v>
      </c>
      <c r="B19" s="53" t="s">
        <v>65</v>
      </c>
      <c r="C19" s="53" t="s">
        <v>120</v>
      </c>
      <c r="D19" s="451">
        <f t="shared" si="9"/>
        <v>-0.4521873195884365</v>
      </c>
      <c r="E19" s="462">
        <f t="shared" si="4"/>
        <v>0.31912507216462505</v>
      </c>
      <c r="F19" s="238">
        <f>(COS('Coords-Trans'!$T$4)*((COS(-banglerad)*K19+SIN(-banglerad)*I19)*1000+'Coords-Trans'!$J$8-'Coords-Trans'!$J$10)+SIN('Coords-Trans'!$T$4)*((-SIN(-banglerad)*K19+COS(-banglerad)*I19)*1000+'Coords-Trans'!$K$8-'Coords-Trans'!$K$10))</f>
        <v>14607.253723199252</v>
      </c>
      <c r="G19" s="201">
        <f>(-SIN('Coords-Trans'!$T$4)*((COS(-banglerad)*K19+SIN(-banglerad)*I19)*1000+'Coords-Trans'!$J$8-'Coords-Trans'!$J$10)+COS('Coords-Trans'!$T$4)*((-SIN(-banglerad)*K19+COS(-banglerad)*I19)*1000+'Coords-Trans'!$K$8-'Coords-Trans'!$K$10))</f>
        <v>18.682746489636884</v>
      </c>
      <c r="H19" s="272">
        <f t="shared" si="0"/>
        <v>-46.721833712570238</v>
      </c>
      <c r="I19" s="352">
        <f t="shared" si="11"/>
        <v>-7.6078300183186801E-2</v>
      </c>
      <c r="J19" s="337">
        <f>M18</f>
        <v>-4.6721833712570236E-2</v>
      </c>
      <c r="K19" s="338">
        <f>N18</f>
        <v>14.631233307555275</v>
      </c>
      <c r="L19" s="352">
        <f t="shared" si="1"/>
        <v>-8.0534103732703186E-2</v>
      </c>
      <c r="M19" s="337">
        <f t="shared" si="2"/>
        <v>-5.3035494219894196E-2</v>
      </c>
      <c r="N19" s="338">
        <f t="shared" si="3"/>
        <v>15.431195984648614</v>
      </c>
      <c r="O19" s="54">
        <v>0.8</v>
      </c>
      <c r="P19" s="54">
        <f t="shared" si="8"/>
        <v>15.433012909985337</v>
      </c>
      <c r="Q19" s="52">
        <v>4000</v>
      </c>
      <c r="R19" s="55">
        <v>1600</v>
      </c>
      <c r="S19" s="152">
        <v>70</v>
      </c>
      <c r="T19" s="152">
        <v>70</v>
      </c>
      <c r="U19" s="152">
        <v>55</v>
      </c>
      <c r="V19" s="152">
        <v>55</v>
      </c>
      <c r="W19" s="397">
        <v>3.5</v>
      </c>
      <c r="X19" s="189">
        <v>3</v>
      </c>
      <c r="Y19" s="189">
        <v>3</v>
      </c>
      <c r="Z19" s="398">
        <v>3.5</v>
      </c>
      <c r="AA19" s="422" t="s">
        <v>32</v>
      </c>
      <c r="AB19" s="55"/>
      <c r="AE19" s="10">
        <v>0.117338</v>
      </c>
      <c r="AF19" s="10">
        <v>-0.41576999999999997</v>
      </c>
      <c r="AG19" s="10">
        <v>105.66500000000001</v>
      </c>
    </row>
    <row r="20" spans="1:33" x14ac:dyDescent="0.2">
      <c r="A20" s="64" t="s">
        <v>27</v>
      </c>
      <c r="B20" s="65" t="s">
        <v>65</v>
      </c>
      <c r="C20" s="65"/>
      <c r="D20" s="452">
        <f t="shared" si="9"/>
        <v>-0.46698574514079977</v>
      </c>
      <c r="E20" s="463">
        <f t="shared" si="4"/>
        <v>0.31320570194367969</v>
      </c>
      <c r="F20" s="239">
        <f>(COS('Coords-Trans'!$T$4)*((COS(-banglerad)*K20+SIN(-banglerad)*I20)*1000+'Coords-Trans'!$J$8-'Coords-Trans'!$J$10)+SIN('Coords-Trans'!$T$4)*((-SIN(-banglerad)*K20+COS(-banglerad)*I20)*1000+'Coords-Trans'!$K$8-'Coords-Trans'!$K$10))</f>
        <v>15407.578825764485</v>
      </c>
      <c r="G20" s="202">
        <f>(-SIN('Coords-Trans'!$T$4)*((COS(-banglerad)*K20+SIN(-banglerad)*I20)*1000+'Coords-Trans'!$J$8-'Coords-Trans'!$J$10)+COS('Coords-Trans'!$T$4)*((-SIN(-banglerad)*K20+COS(-banglerad)*I20)*1000+'Coords-Trans'!$K$8-'Coords-Trans'!$K$10))</f>
        <v>21.211104630026966</v>
      </c>
      <c r="H20" s="273">
        <f t="shared" si="0"/>
        <v>-53.035494219894197</v>
      </c>
      <c r="I20" s="353">
        <f t="shared" si="11"/>
        <v>-8.0534103732703186E-2</v>
      </c>
      <c r="J20" s="339">
        <f>M19</f>
        <v>-5.3035494219894196E-2</v>
      </c>
      <c r="K20" s="319">
        <f>bw1z-0.01325</f>
        <v>15.431550000000001</v>
      </c>
      <c r="L20" s="353">
        <f t="shared" si="1"/>
        <v>-8.0678964485714377E-2</v>
      </c>
      <c r="M20" s="339">
        <f t="shared" si="2"/>
        <v>-5.3251478457116211E-2</v>
      </c>
      <c r="N20" s="319">
        <f t="shared" si="3"/>
        <v>15.458048723885605</v>
      </c>
      <c r="O20" s="67">
        <v>2.6499999999999999E-2</v>
      </c>
      <c r="P20" s="67">
        <f t="shared" si="8"/>
        <v>15.459512909985689</v>
      </c>
      <c r="Q20" s="64"/>
      <c r="R20" s="68"/>
      <c r="S20" s="156"/>
      <c r="T20" s="156"/>
      <c r="U20" s="156"/>
      <c r="V20" s="156"/>
      <c r="W20" s="403"/>
      <c r="X20" s="192"/>
      <c r="Y20" s="192"/>
      <c r="Z20" s="404"/>
      <c r="AA20" s="421" t="s">
        <v>32</v>
      </c>
      <c r="AB20" s="68" t="s">
        <v>70</v>
      </c>
      <c r="AD20" s="10" t="s">
        <v>166</v>
      </c>
      <c r="AE20" s="10" t="s">
        <v>167</v>
      </c>
      <c r="AF20" s="10" t="s">
        <v>168</v>
      </c>
      <c r="AG20" s="10" t="s">
        <v>169</v>
      </c>
    </row>
    <row r="21" spans="1:33" ht="16" thickBot="1" x14ac:dyDescent="0.25">
      <c r="A21" s="60">
        <v>2</v>
      </c>
      <c r="B21" s="61" t="s">
        <v>65</v>
      </c>
      <c r="C21" s="61" t="s">
        <v>121</v>
      </c>
      <c r="D21" s="453">
        <f t="shared" si="9"/>
        <v>-0.48178417069316304</v>
      </c>
      <c r="E21" s="464">
        <f t="shared" si="4"/>
        <v>0.30728633172273434</v>
      </c>
      <c r="F21" s="240">
        <f>(COS('Coords-Trans'!$T$4)*((COS(-banglerad)*K21+SIN(-banglerad)*I21)*1000+'Coords-Trans'!$J$8-'Coords-Trans'!$J$10)+SIN('Coords-Trans'!$T$4)*((-SIN(-banglerad)*K21+COS(-banglerad)*I21)*1000+'Coords-Trans'!$K$8-'Coords-Trans'!$K$10))</f>
        <v>15434.077804792387</v>
      </c>
      <c r="G21" s="203">
        <f>(-SIN('Coords-Trans'!$T$4)*((COS(-banglerad)*K21+SIN(-banglerad)*I21)*1000+'Coords-Trans'!$J$8-'Coords-Trans'!$J$10)+COS('Coords-Trans'!$T$4)*((-SIN(-banglerad)*K21+COS(-banglerad)*I21)*1000+'Coords-Trans'!$K$8-'Coords-Trans'!$K$10))</f>
        <v>21.297491447518041</v>
      </c>
      <c r="H21" s="274">
        <f t="shared" si="0"/>
        <v>-53.251478457116214</v>
      </c>
      <c r="I21" s="354">
        <f t="shared" si="11"/>
        <v>-8.0678964485714377E-2</v>
      </c>
      <c r="J21" s="340">
        <f>M20</f>
        <v>-5.3251478457116211E-2</v>
      </c>
      <c r="K21" s="341">
        <f>N20</f>
        <v>15.458048723885605</v>
      </c>
      <c r="L21" s="354">
        <f t="shared" si="1"/>
        <v>-8.4969470505290939E-2</v>
      </c>
      <c r="M21" s="340">
        <f t="shared" si="2"/>
        <v>-5.9978375233894696E-2</v>
      </c>
      <c r="N21" s="341">
        <f t="shared" si="3"/>
        <v>16.258008936470844</v>
      </c>
      <c r="O21" s="62">
        <v>0.8</v>
      </c>
      <c r="P21" s="62">
        <f t="shared" si="8"/>
        <v>16.259512919652355</v>
      </c>
      <c r="Q21" s="60">
        <v>4000</v>
      </c>
      <c r="R21" s="63">
        <v>1600</v>
      </c>
      <c r="S21" s="154">
        <v>70</v>
      </c>
      <c r="T21" s="154">
        <v>70</v>
      </c>
      <c r="U21" s="154">
        <v>55</v>
      </c>
      <c r="V21" s="154">
        <v>55</v>
      </c>
      <c r="W21" s="401">
        <v>3.5</v>
      </c>
      <c r="X21" s="191">
        <v>3</v>
      </c>
      <c r="Y21" s="191">
        <v>3</v>
      </c>
      <c r="Z21" s="402">
        <v>3.5</v>
      </c>
      <c r="AA21" s="424" t="s">
        <v>32</v>
      </c>
      <c r="AB21" s="63"/>
      <c r="AE21" s="10">
        <v>0.34309800000000001</v>
      </c>
      <c r="AF21" s="10">
        <v>-4.1577000000000002</v>
      </c>
      <c r="AG21" s="10">
        <v>158.495</v>
      </c>
    </row>
    <row r="22" spans="1:33" ht="16" thickBot="1" x14ac:dyDescent="0.25">
      <c r="A22" s="11" t="s">
        <v>43</v>
      </c>
      <c r="B22" s="11"/>
      <c r="C22" s="11"/>
      <c r="D22" s="454">
        <f t="shared" si="9"/>
        <v>-0.49614392543362928</v>
      </c>
      <c r="E22" s="465">
        <f t="shared" si="4"/>
        <v>0.30154242982654783</v>
      </c>
      <c r="F22" s="241">
        <f>(COS('Coords-Trans'!$T$4)*((COS(-banglerad)*K22+SIN(-banglerad)*I22)*1000+'Coords-Trans'!$J$8-'Coords-Trans'!$J$10)+SIN('Coords-Trans'!$T$4)*((-SIN(-banglerad)*K22+COS(-banglerad)*I22)*1000+'Coords-Trans'!$K$8-'Coords-Trans'!$K$10))</f>
        <v>16234.04499859703</v>
      </c>
      <c r="G22" s="204">
        <f>(-SIN('Coords-Trans'!$T$4)*((COS(-banglerad)*K22+SIN(-banglerad)*I22)*1000+'Coords-Trans'!$J$8-'Coords-Trans'!$J$10)+COS('Coords-Trans'!$T$4)*((-SIN(-banglerad)*K22+COS(-banglerad)*I22)*1000+'Coords-Trans'!$K$8-'Coords-Trans'!$K$10))</f>
        <v>23.988029989676761</v>
      </c>
      <c r="H22" s="275">
        <f t="shared" si="0"/>
        <v>-59.978375233894695</v>
      </c>
      <c r="I22" s="355">
        <f t="shared" ref="I22:I27" si="14">L21</f>
        <v>-8.4969470505290939E-2</v>
      </c>
      <c r="J22" s="342">
        <f t="shared" ref="J22:J27" si="15">M21</f>
        <v>-5.9978375233894696E-2</v>
      </c>
      <c r="K22" s="343">
        <f t="shared" ref="K22:K27" si="16">N21</f>
        <v>16.258008936470844</v>
      </c>
      <c r="L22" s="355">
        <f t="shared" si="1"/>
        <v>-8.497999627316985E-2</v>
      </c>
      <c r="M22" s="342">
        <f t="shared" si="2"/>
        <v>-5.9995693707582495E-2</v>
      </c>
      <c r="N22" s="343">
        <f t="shared" si="3"/>
        <v>16.260008833789954</v>
      </c>
      <c r="O22" s="58">
        <v>2E-3</v>
      </c>
      <c r="P22" s="58">
        <f t="shared" si="8"/>
        <v>16.261512919652354</v>
      </c>
      <c r="Q22" s="56"/>
      <c r="R22" s="59"/>
      <c r="S22" s="155"/>
      <c r="T22" s="155"/>
      <c r="U22" s="155"/>
      <c r="V22" s="155"/>
      <c r="W22" s="399"/>
      <c r="X22" s="190"/>
      <c r="Y22" s="190"/>
      <c r="Z22" s="400"/>
      <c r="AA22" s="423"/>
      <c r="AB22" s="11"/>
    </row>
    <row r="23" spans="1:33" x14ac:dyDescent="0.2">
      <c r="A23" s="52">
        <v>2</v>
      </c>
      <c r="B23" s="53" t="s">
        <v>64</v>
      </c>
      <c r="C23" s="53" t="s">
        <v>124</v>
      </c>
      <c r="D23" s="451">
        <f t="shared" si="9"/>
        <v>-0.52665572994182552</v>
      </c>
      <c r="E23" s="462">
        <f t="shared" si="4"/>
        <v>0.2893377080232693</v>
      </c>
      <c r="F23" s="238">
        <f>(COS('Coords-Trans'!$T$4)*((COS(-banglerad)*K23+SIN(-banglerad)*I23)*1000+'Coords-Trans'!$J$8-'Coords-Trans'!$J$10)+SIN('Coords-Trans'!$T$4)*((-SIN(-banglerad)*K23+COS(-banglerad)*I23)*1000+'Coords-Trans'!$K$8-'Coords-Trans'!$K$10))</f>
        <v>16236.044911619663</v>
      </c>
      <c r="G23" s="201">
        <f>(-SIN('Coords-Trans'!$T$4)*((COS(-banglerad)*K23+SIN(-banglerad)*I23)*1000+'Coords-Trans'!$J$8-'Coords-Trans'!$J$10)+COS('Coords-Trans'!$T$4)*((-SIN(-banglerad)*K23+COS(-banglerad)*I23)*1000+'Coords-Trans'!$K$8-'Coords-Trans'!$K$10))</f>
        <v>23.994956797535451</v>
      </c>
      <c r="H23" s="272">
        <f t="shared" si="0"/>
        <v>-59.995693707582497</v>
      </c>
      <c r="I23" s="352">
        <f t="shared" si="14"/>
        <v>-8.497999627316985E-2</v>
      </c>
      <c r="J23" s="337">
        <f t="shared" si="15"/>
        <v>-5.9995693707582495E-2</v>
      </c>
      <c r="K23" s="338">
        <f t="shared" si="16"/>
        <v>16.260008833789954</v>
      </c>
      <c r="L23" s="352">
        <f t="shared" si="1"/>
        <v>-9.3575390357368879E-2</v>
      </c>
      <c r="M23" s="337">
        <f t="shared" si="2"/>
        <v>-7.564097226824712E-2</v>
      </c>
      <c r="N23" s="338">
        <f t="shared" si="3"/>
        <v>17.96201586455571</v>
      </c>
      <c r="O23" s="54">
        <f>(K28-N20-1.6-0.005)/2</f>
        <v>1.7021006380571972</v>
      </c>
      <c r="P23" s="54">
        <f t="shared" si="8"/>
        <v>17.963613650812309</v>
      </c>
      <c r="Q23" s="52">
        <v>4000</v>
      </c>
      <c r="R23" s="55">
        <v>1600</v>
      </c>
      <c r="S23" s="152">
        <v>70</v>
      </c>
      <c r="T23" s="152">
        <v>70</v>
      </c>
      <c r="U23" s="152">
        <v>55</v>
      </c>
      <c r="V23" s="152">
        <v>55</v>
      </c>
      <c r="W23" s="397">
        <v>3.5</v>
      </c>
      <c r="X23" s="189">
        <v>3</v>
      </c>
      <c r="Y23" s="189">
        <v>3</v>
      </c>
      <c r="Z23" s="398">
        <v>3.5</v>
      </c>
      <c r="AA23" s="422" t="s">
        <v>32</v>
      </c>
      <c r="AB23" s="55"/>
    </row>
    <row r="24" spans="1:33" x14ac:dyDescent="0.2">
      <c r="A24" s="56" t="s">
        <v>43</v>
      </c>
      <c r="B24" s="57" t="s">
        <v>64</v>
      </c>
      <c r="C24" s="57"/>
      <c r="D24" s="454">
        <f t="shared" si="9"/>
        <v>-0.55714962951892399</v>
      </c>
      <c r="E24" s="465">
        <f t="shared" si="4"/>
        <v>0.27714014819242988</v>
      </c>
      <c r="F24" s="241">
        <f>(COS('Coords-Trans'!$T$4)*((COS(-banglerad)*K24+SIN(-banglerad)*I24)*1000+'Coords-Trans'!$J$8-'Coords-Trans'!$J$10)+SIN('Coords-Trans'!$T$4)*((-SIN(-banglerad)*K24+COS(-banglerad)*I24)*1000+'Coords-Trans'!$K$8-'Coords-Trans'!$K$10))</f>
        <v>17938.062143184528</v>
      </c>
      <c r="G24" s="205">
        <f>(-SIN('Coords-Trans'!$T$4)*((COS(-banglerad)*K24+SIN(-banglerad)*I24)*1000+'Coords-Trans'!$J$8-'Coords-Trans'!$J$10)+COS('Coords-Trans'!$T$4)*((-SIN(-banglerad)*K24+COS(-banglerad)*I24)*1000+'Coords-Trans'!$K$8-'Coords-Trans'!$K$10))</f>
        <v>30.252514772062568</v>
      </c>
      <c r="H24" s="275">
        <f t="shared" si="0"/>
        <v>-75.640972268247125</v>
      </c>
      <c r="I24" s="355">
        <f t="shared" si="14"/>
        <v>-9.3575390357368879E-2</v>
      </c>
      <c r="J24" s="344">
        <f t="shared" si="15"/>
        <v>-7.564097226824712E-2</v>
      </c>
      <c r="K24" s="343">
        <f t="shared" si="16"/>
        <v>17.96201586455571</v>
      </c>
      <c r="L24" s="355">
        <f t="shared" si="1"/>
        <v>-9.3580227346582695E-2</v>
      </c>
      <c r="M24" s="344">
        <f t="shared" si="2"/>
        <v>-7.5650696210460666E-2</v>
      </c>
      <c r="N24" s="343">
        <f t="shared" si="3"/>
        <v>17.963015805579317</v>
      </c>
      <c r="O24" s="58">
        <v>1E-3</v>
      </c>
      <c r="P24" s="58">
        <f t="shared" si="8"/>
        <v>17.964613650812311</v>
      </c>
      <c r="Q24" s="56"/>
      <c r="R24" s="59"/>
      <c r="S24" s="153"/>
      <c r="T24" s="153"/>
      <c r="U24" s="153"/>
      <c r="V24" s="153"/>
      <c r="W24" s="399"/>
      <c r="X24" s="190"/>
      <c r="Y24" s="190"/>
      <c r="Z24" s="400"/>
      <c r="AA24" s="423"/>
      <c r="AB24" s="59"/>
      <c r="AD24" t="s">
        <v>182</v>
      </c>
    </row>
    <row r="25" spans="1:33" ht="16" thickBot="1" x14ac:dyDescent="0.25">
      <c r="A25" s="60">
        <v>2</v>
      </c>
      <c r="B25" s="61" t="s">
        <v>64</v>
      </c>
      <c r="C25" s="61" t="s">
        <v>125</v>
      </c>
      <c r="D25" s="453">
        <f t="shared" si="9"/>
        <v>-0.58764352909602247</v>
      </c>
      <c r="E25" s="464">
        <f t="shared" si="4"/>
        <v>0.26494258836159046</v>
      </c>
      <c r="F25" s="240">
        <f>(COS('Coords-Trans'!$T$4)*((COS(-banglerad)*K25+SIN(-banglerad)*I25)*1000+'Coords-Trans'!$J$8-'Coords-Trans'!$J$10)+SIN('Coords-Trans'!$T$4)*((-SIN(-banglerad)*K25+COS(-banglerad)*I25)*1000+'Coords-Trans'!$K$8-'Coords-Trans'!$K$10))</f>
        <v>17939.062088343606</v>
      </c>
      <c r="G25" s="203">
        <f>(-SIN('Coords-Trans'!$T$4)*((COS(-banglerad)*K25+SIN(-banglerad)*I25)*1000+'Coords-Trans'!$J$8-'Coords-Trans'!$J$10)+COS('Coords-Trans'!$T$4)*((-SIN(-banglerad)*K25+COS(-banglerad)*I25)*1000+'Coords-Trans'!$K$8-'Coords-Trans'!$K$10))</f>
        <v>30.256403987867088</v>
      </c>
      <c r="H25" s="274">
        <f t="shared" si="0"/>
        <v>-75.650696210460666</v>
      </c>
      <c r="I25" s="354">
        <f t="shared" si="14"/>
        <v>-9.3580227346582695E-2</v>
      </c>
      <c r="J25" s="340">
        <f t="shared" si="15"/>
        <v>-7.5650696210460666E-2</v>
      </c>
      <c r="K25" s="341">
        <f t="shared" si="16"/>
        <v>17.963015805579317</v>
      </c>
      <c r="L25" s="354">
        <f t="shared" si="1"/>
        <v>-0.10145091774347853</v>
      </c>
      <c r="M25" s="340">
        <f t="shared" si="2"/>
        <v>-9.3107669453770275E-2</v>
      </c>
      <c r="N25" s="341">
        <f t="shared" si="3"/>
        <v>19.665008724162927</v>
      </c>
      <c r="O25" s="62">
        <f>O23</f>
        <v>1.7021006380571972</v>
      </c>
      <c r="P25" s="62">
        <f t="shared" si="8"/>
        <v>19.666714381972266</v>
      </c>
      <c r="Q25" s="60">
        <v>4000</v>
      </c>
      <c r="R25" s="63">
        <v>1600</v>
      </c>
      <c r="S25" s="154">
        <v>70</v>
      </c>
      <c r="T25" s="154">
        <v>70</v>
      </c>
      <c r="U25" s="154">
        <v>55</v>
      </c>
      <c r="V25" s="154">
        <v>55</v>
      </c>
      <c r="W25" s="401">
        <v>3.5</v>
      </c>
      <c r="X25" s="191">
        <v>3</v>
      </c>
      <c r="Y25" s="191">
        <v>3</v>
      </c>
      <c r="Z25" s="402">
        <v>3.5</v>
      </c>
      <c r="AA25" s="424" t="s">
        <v>32</v>
      </c>
      <c r="AB25" s="63"/>
      <c r="AD25" s="378">
        <f>SUM(O4:O39)</f>
        <v>25.999653376252098</v>
      </c>
    </row>
    <row r="26" spans="1:33" ht="16" thickBot="1" x14ac:dyDescent="0.25">
      <c r="A26" s="11" t="s">
        <v>43</v>
      </c>
      <c r="B26" s="11"/>
      <c r="C26" s="11"/>
      <c r="D26" s="454">
        <f t="shared" si="9"/>
        <v>-0.6181553336042187</v>
      </c>
      <c r="E26" s="465">
        <f t="shared" si="4"/>
        <v>0.25273786655831193</v>
      </c>
      <c r="F26" s="241">
        <f>(COS('Coords-Trans'!$T$4)*((COS(-banglerad)*K26+SIN(-banglerad)*I26)*1000+'Coords-Trans'!$J$8-'Coords-Trans'!$J$10)+SIN('Coords-Trans'!$T$4)*((-SIN(-banglerad)*K26+COS(-banglerad)*I26)*1000+'Coords-Trans'!$K$8-'Coords-Trans'!$K$10))</f>
        <v>19641.058884111219</v>
      </c>
      <c r="G26" s="204">
        <f>(-SIN('Coords-Trans'!$T$4)*((COS(-banglerad)*K26+SIN(-banglerad)*I26)*1000+'Coords-Trans'!$J$8-'Coords-Trans'!$J$10)+COS('Coords-Trans'!$T$4)*((-SIN(-banglerad)*K26+COS(-banglerad)*I26)*1000+'Coords-Trans'!$K$8-'Coords-Trans'!$K$10))</f>
        <v>37.238514904745898</v>
      </c>
      <c r="H26" s="275">
        <f t="shared" si="0"/>
        <v>-93.107669453770271</v>
      </c>
      <c r="I26" s="355">
        <f t="shared" si="14"/>
        <v>-0.10145091774347853</v>
      </c>
      <c r="J26" s="342">
        <f t="shared" si="15"/>
        <v>-9.3107669453770275E-2</v>
      </c>
      <c r="K26" s="343">
        <f t="shared" si="16"/>
        <v>19.665008724162927</v>
      </c>
      <c r="L26" s="355">
        <f t="shared" si="1"/>
        <v>-0.10145973993070012</v>
      </c>
      <c r="M26" s="342">
        <f t="shared" si="2"/>
        <v>-9.3129246726888701E-2</v>
      </c>
      <c r="N26" s="343">
        <f t="shared" si="3"/>
        <v>19.667008588308153</v>
      </c>
      <c r="O26" s="58">
        <v>2E-3</v>
      </c>
      <c r="P26" s="58">
        <f t="shared" si="8"/>
        <v>19.668714381972265</v>
      </c>
      <c r="Q26" s="56"/>
      <c r="R26" s="59"/>
      <c r="S26" s="155"/>
      <c r="T26" s="155"/>
      <c r="U26" s="155"/>
      <c r="V26" s="155"/>
      <c r="W26" s="399"/>
      <c r="X26" s="190"/>
      <c r="Y26" s="190"/>
      <c r="Z26" s="400"/>
      <c r="AA26" s="423"/>
      <c r="AB26" s="11"/>
      <c r="AD26"/>
    </row>
    <row r="27" spans="1:33" x14ac:dyDescent="0.2">
      <c r="A27" s="52">
        <v>2</v>
      </c>
      <c r="B27" s="53" t="s">
        <v>66</v>
      </c>
      <c r="C27" s="53" t="s">
        <v>126</v>
      </c>
      <c r="D27" s="451">
        <f t="shared" si="9"/>
        <v>-0.63251508834468495</v>
      </c>
      <c r="E27" s="462">
        <f t="shared" si="4"/>
        <v>0.24699396466212542</v>
      </c>
      <c r="F27" s="238">
        <f>(COS('Coords-Trans'!$T$4)*((COS(-banglerad)*K27+SIN(-banglerad)*I27)*1000+'Coords-Trans'!$J$8-'Coords-Trans'!$J$10)+SIN('Coords-Trans'!$T$4)*((-SIN(-banglerad)*K27+COS(-banglerad)*I27)*1000+'Coords-Trans'!$K$8-'Coords-Trans'!$K$10))</f>
        <v>19643.058749094875</v>
      </c>
      <c r="G27" s="201">
        <f>(-SIN('Coords-Trans'!$T$4)*((COS(-banglerad)*K27+SIN(-banglerad)*I27)*1000+'Coords-Trans'!$J$8-'Coords-Trans'!$J$10)+COS('Coords-Trans'!$T$4)*((-SIN(-banglerad)*K27+COS(-banglerad)*I27)*1000+'Coords-Trans'!$K$8-'Coords-Trans'!$K$10))</f>
        <v>37.247144938903148</v>
      </c>
      <c r="H27" s="272">
        <f t="shared" si="0"/>
        <v>-93.129246726888695</v>
      </c>
      <c r="I27" s="352">
        <f t="shared" si="14"/>
        <v>-0.10145973993070012</v>
      </c>
      <c r="J27" s="337">
        <f t="shared" si="15"/>
        <v>-9.3129246726888701E-2</v>
      </c>
      <c r="K27" s="338">
        <f t="shared" si="16"/>
        <v>19.667008588308153</v>
      </c>
      <c r="L27" s="352">
        <f t="shared" si="1"/>
        <v>-0.10490841558199551</v>
      </c>
      <c r="M27" s="337">
        <f t="shared" si="2"/>
        <v>-0.10196064403218835</v>
      </c>
      <c r="N27" s="338">
        <f t="shared" si="3"/>
        <v>20.46695240790255</v>
      </c>
      <c r="O27" s="54">
        <v>0.8</v>
      </c>
      <c r="P27" s="54">
        <f t="shared" si="8"/>
        <v>20.468714391638933</v>
      </c>
      <c r="Q27" s="52">
        <v>4000</v>
      </c>
      <c r="R27" s="55">
        <v>1600</v>
      </c>
      <c r="S27" s="152">
        <v>70</v>
      </c>
      <c r="T27" s="152">
        <v>70</v>
      </c>
      <c r="U27" s="152">
        <v>55</v>
      </c>
      <c r="V27" s="152">
        <v>55</v>
      </c>
      <c r="W27" s="397">
        <v>3.5</v>
      </c>
      <c r="X27" s="189">
        <v>3</v>
      </c>
      <c r="Y27" s="189">
        <v>3</v>
      </c>
      <c r="Z27" s="398">
        <v>3.5</v>
      </c>
      <c r="AA27" s="422" t="s">
        <v>32</v>
      </c>
      <c r="AB27" s="55"/>
      <c r="AD27" t="s">
        <v>183</v>
      </c>
    </row>
    <row r="28" spans="1:33" x14ac:dyDescent="0.2">
      <c r="A28" s="64" t="s">
        <v>28</v>
      </c>
      <c r="B28" s="65" t="s">
        <v>66</v>
      </c>
      <c r="C28" s="65"/>
      <c r="D28" s="452">
        <f t="shared" si="9"/>
        <v>-0.64731351389704828</v>
      </c>
      <c r="E28" s="463">
        <f t="shared" si="4"/>
        <v>0.2410745944411801</v>
      </c>
      <c r="F28" s="239">
        <f>(COS('Coords-Trans'!$T$4)*((COS(-banglerad)*K28+SIN(-banglerad)*I28)*1000+'Coords-Trans'!$J$8-'Coords-Trans'!$J$10)+SIN('Coords-Trans'!$T$4)*((-SIN(-banglerad)*K28+COS(-banglerad)*I28)*1000+'Coords-Trans'!$K$8-'Coords-Trans'!$K$10))</f>
        <v>20443.299785036335</v>
      </c>
      <c r="G28" s="202">
        <f>(-SIN('Coords-Trans'!$T$4)*((COS(-banglerad)*K28+SIN(-banglerad)*I28)*1000+'Coords-Trans'!$J$8-'Coords-Trans'!$J$10)+COS('Coords-Trans'!$T$4)*((-SIN(-banglerad)*K28+COS(-banglerad)*I28)*1000+'Coords-Trans'!$K$8-'Coords-Trans'!$K$10))</f>
        <v>40.781935689006787</v>
      </c>
      <c r="H28" s="273">
        <f t="shared" si="0"/>
        <v>-101.96064403218836</v>
      </c>
      <c r="I28" s="353">
        <f>L27</f>
        <v>-0.10490841558199551</v>
      </c>
      <c r="J28" s="339">
        <f>M27</f>
        <v>-0.10196064403218835</v>
      </c>
      <c r="K28" s="319">
        <f>bw2z-0.01325</f>
        <v>20.46725</v>
      </c>
      <c r="L28" s="353">
        <f t="shared" si="1"/>
        <v>-0.10501991520652862</v>
      </c>
      <c r="M28" s="339">
        <f t="shared" si="2"/>
        <v>-0.10226002809415552</v>
      </c>
      <c r="N28" s="319">
        <f t="shared" si="3"/>
        <v>20.49374807424331</v>
      </c>
      <c r="O28" s="67">
        <v>2.6499999999999999E-2</v>
      </c>
      <c r="P28" s="67">
        <f t="shared" si="8"/>
        <v>20.495214391639283</v>
      </c>
      <c r="Q28" s="64"/>
      <c r="R28" s="68"/>
      <c r="S28" s="156"/>
      <c r="T28" s="156"/>
      <c r="U28" s="156"/>
      <c r="V28" s="156"/>
      <c r="W28" s="403"/>
      <c r="X28" s="192"/>
      <c r="Y28" s="192"/>
      <c r="Z28" s="404"/>
      <c r="AA28" s="421" t="s">
        <v>32</v>
      </c>
      <c r="AB28" s="68" t="s">
        <v>71</v>
      </c>
      <c r="AD28" s="378">
        <f>SUM(O40:O64)</f>
        <v>26</v>
      </c>
    </row>
    <row r="29" spans="1:33" ht="16" thickBot="1" x14ac:dyDescent="0.25">
      <c r="A29" s="60">
        <v>2</v>
      </c>
      <c r="B29" s="61" t="s">
        <v>66</v>
      </c>
      <c r="C29" s="61" t="s">
        <v>127</v>
      </c>
      <c r="D29" s="453">
        <f t="shared" si="9"/>
        <v>-0.6621119394494116</v>
      </c>
      <c r="E29" s="464">
        <f t="shared" si="4"/>
        <v>0.23515522422023477</v>
      </c>
      <c r="F29" s="240">
        <f>(COS('Coords-Trans'!$T$4)*((COS(-banglerad)*K29+SIN(-banglerad)*I29)*1000+'Coords-Trans'!$J$8-'Coords-Trans'!$J$10)+SIN('Coords-Trans'!$T$4)*((-SIN(-banglerad)*K29+COS(-banglerad)*I29)*1000+'Coords-Trans'!$K$8-'Coords-Trans'!$K$10))</f>
        <v>20469.797823319605</v>
      </c>
      <c r="G29" s="203">
        <f>(-SIN('Coords-Trans'!$T$4)*((COS(-banglerad)*K29+SIN(-banglerad)*I29)*1000+'Coords-Trans'!$J$8-'Coords-Trans'!$J$10)+COS('Coords-Trans'!$T$4)*((-SIN(-banglerad)*K29+COS(-banglerad)*I29)*1000+'Coords-Trans'!$K$8-'Coords-Trans'!$K$10))</f>
        <v>40.901676695562855</v>
      </c>
      <c r="H29" s="274">
        <f t="shared" si="0"/>
        <v>-102.26002809415552</v>
      </c>
      <c r="I29" s="354">
        <f>L28</f>
        <v>-0.10501991520652862</v>
      </c>
      <c r="J29" s="340">
        <f>M28</f>
        <v>-0.10226002809415552</v>
      </c>
      <c r="K29" s="341">
        <f>N28</f>
        <v>20.49374807424331</v>
      </c>
      <c r="L29" s="354">
        <f t="shared" si="1"/>
        <v>-0.10830329232130509</v>
      </c>
      <c r="M29" s="340">
        <f t="shared" si="2"/>
        <v>-0.11150464902169112</v>
      </c>
      <c r="N29" s="341">
        <f t="shared" si="3"/>
        <v>21.293687920643166</v>
      </c>
      <c r="O29" s="62">
        <v>0.8</v>
      </c>
      <c r="P29" s="62">
        <f t="shared" si="8"/>
        <v>21.295214401305952</v>
      </c>
      <c r="Q29" s="60">
        <v>4000</v>
      </c>
      <c r="R29" s="63">
        <v>1600</v>
      </c>
      <c r="S29" s="154">
        <v>70</v>
      </c>
      <c r="T29" s="154">
        <v>70</v>
      </c>
      <c r="U29" s="154">
        <v>55</v>
      </c>
      <c r="V29" s="154">
        <v>55</v>
      </c>
      <c r="W29" s="401">
        <v>3.5</v>
      </c>
      <c r="X29" s="191">
        <v>3</v>
      </c>
      <c r="Y29" s="191">
        <v>3</v>
      </c>
      <c r="Z29" s="402">
        <v>3.5</v>
      </c>
      <c r="AA29" s="424" t="s">
        <v>32</v>
      </c>
      <c r="AB29" s="63"/>
    </row>
    <row r="30" spans="1:33" ht="16" thickBot="1" x14ac:dyDescent="0.25">
      <c r="A30" s="11" t="s">
        <v>43</v>
      </c>
      <c r="B30" s="11"/>
      <c r="C30" s="11"/>
      <c r="D30" s="449">
        <f t="shared" si="9"/>
        <v>-0.67647169418987785</v>
      </c>
      <c r="E30" s="460">
        <f t="shared" si="4"/>
        <v>0.22941132232404826</v>
      </c>
      <c r="F30" s="236">
        <f>(COS('Coords-Trans'!$T$4)*((COS(-banglerad)*K30+SIN(-banglerad)*I30)*1000+'Coords-Trans'!$J$8-'Coords-Trans'!$J$10)+SIN('Coords-Trans'!$T$4)*((-SIN(-banglerad)*K30+COS(-banglerad)*I30)*1000+'Coords-Trans'!$K$8-'Coords-Trans'!$K$10))</f>
        <v>21269.735862968209</v>
      </c>
      <c r="G30" s="200">
        <f>(-SIN('Coords-Trans'!$T$4)*((COS(-banglerad)*K30+SIN(-banglerad)*I30)*1000+'Coords-Trans'!$J$8-'Coords-Trans'!$J$10)+COS('Coords-Trans'!$T$4)*((-SIN(-banglerad)*K30+COS(-banglerad)*I30)*1000+'Coords-Trans'!$K$8-'Coords-Trans'!$K$10))</f>
        <v>44.599128067895435</v>
      </c>
      <c r="H30" s="270">
        <f t="shared" si="0"/>
        <v>-111.50464902169112</v>
      </c>
      <c r="I30" s="350">
        <f t="shared" ref="I30:I65" si="17">L29</f>
        <v>-0.10830329232130509</v>
      </c>
      <c r="J30" s="336">
        <f t="shared" ref="J30:J65" si="18">M29</f>
        <v>-0.11150464902169112</v>
      </c>
      <c r="K30" s="333">
        <f t="shared" ref="K30:K65" si="19">N29</f>
        <v>21.293687920643166</v>
      </c>
      <c r="L30" s="350">
        <f t="shared" si="1"/>
        <v>-0.1083113002657398</v>
      </c>
      <c r="M30" s="336">
        <f t="shared" si="2"/>
        <v>-0.11152826178981029</v>
      </c>
      <c r="N30" s="333">
        <f t="shared" si="3"/>
        <v>21.295687765216861</v>
      </c>
      <c r="O30" s="58">
        <v>2E-3</v>
      </c>
      <c r="P30" s="58">
        <f t="shared" si="8"/>
        <v>21.297214401305951</v>
      </c>
      <c r="Q30" s="56"/>
      <c r="R30" s="59"/>
      <c r="S30" s="155"/>
      <c r="T30" s="155"/>
      <c r="U30" s="155"/>
      <c r="V30" s="155"/>
      <c r="W30" s="399"/>
      <c r="X30" s="190"/>
      <c r="Y30" s="190"/>
      <c r="Z30" s="400"/>
      <c r="AA30" s="423"/>
      <c r="AB30" s="11"/>
    </row>
    <row r="31" spans="1:33" x14ac:dyDescent="0.2">
      <c r="A31" s="52">
        <v>2</v>
      </c>
      <c r="B31" s="53" t="s">
        <v>67</v>
      </c>
      <c r="C31" s="53" t="s">
        <v>128</v>
      </c>
      <c r="D31" s="448">
        <f t="shared" si="9"/>
        <v>-0.71231736624774999</v>
      </c>
      <c r="E31" s="459">
        <f t="shared" si="4"/>
        <v>0.21507305350089942</v>
      </c>
      <c r="F31" s="235">
        <f>(COS('Coords-Trans'!$T$4)*((COS(-banglerad)*K31+SIN(-banglerad)*I31)*1000+'Coords-Trans'!$J$8-'Coords-Trans'!$J$10)+SIN('Coords-Trans'!$T$4)*((-SIN(-banglerad)*K31+COS(-banglerad)*I31)*1000+'Coords-Trans'!$K$8-'Coords-Trans'!$K$10))</f>
        <v>21271.73570127556</v>
      </c>
      <c r="G31" s="197">
        <f>(-SIN('Coords-Trans'!$T$4)*((COS(-banglerad)*K31+SIN(-banglerad)*I31)*1000+'Coords-Trans'!$J$8-'Coords-Trans'!$J$10)+COS('Coords-Trans'!$T$4)*((-SIN(-banglerad)*K31+COS(-banglerad)*I31)*1000+'Coords-Trans'!$K$8-'Coords-Trans'!$K$10))</f>
        <v>44.608572143040874</v>
      </c>
      <c r="H31" s="269">
        <f t="shared" si="0"/>
        <v>-111.52826178981029</v>
      </c>
      <c r="I31" s="349">
        <f t="shared" si="17"/>
        <v>-0.1083113002657398</v>
      </c>
      <c r="J31" s="330">
        <f t="shared" si="18"/>
        <v>-0.11152826178981029</v>
      </c>
      <c r="K31" s="331">
        <f t="shared" si="19"/>
        <v>21.295687765216861</v>
      </c>
      <c r="L31" s="349">
        <f t="shared" si="1"/>
        <v>-0.11581874846689805</v>
      </c>
      <c r="M31" s="330">
        <f t="shared" si="2"/>
        <v>-0.13639218799691791</v>
      </c>
      <c r="N31" s="331">
        <f t="shared" si="3"/>
        <v>23.295519116132731</v>
      </c>
      <c r="O31" s="54">
        <v>2</v>
      </c>
      <c r="P31" s="54">
        <f t="shared" si="8"/>
        <v>23.297214552347643</v>
      </c>
      <c r="Q31" s="52">
        <v>4000</v>
      </c>
      <c r="R31" s="55">
        <v>1600</v>
      </c>
      <c r="S31" s="152">
        <v>70</v>
      </c>
      <c r="T31" s="152">
        <v>70</v>
      </c>
      <c r="U31" s="152">
        <v>55</v>
      </c>
      <c r="V31" s="152">
        <v>55</v>
      </c>
      <c r="W31" s="397">
        <v>3.5</v>
      </c>
      <c r="X31" s="189">
        <v>3</v>
      </c>
      <c r="Y31" s="189">
        <v>3</v>
      </c>
      <c r="Z31" s="398">
        <v>3.5</v>
      </c>
      <c r="AA31" s="422" t="s">
        <v>31</v>
      </c>
      <c r="AB31" s="69"/>
      <c r="AD31" s="377" t="s">
        <v>176</v>
      </c>
    </row>
    <row r="32" spans="1:33" x14ac:dyDescent="0.2">
      <c r="A32" s="56" t="s">
        <v>43</v>
      </c>
      <c r="B32" s="57" t="s">
        <v>67</v>
      </c>
      <c r="C32" s="57"/>
      <c r="D32" s="449">
        <f t="shared" si="9"/>
        <v>-0.74814513337452426</v>
      </c>
      <c r="E32" s="460">
        <f t="shared" si="4"/>
        <v>0.20074194665018971</v>
      </c>
      <c r="F32" s="236">
        <f>(COS('Coords-Trans'!$T$4)*((COS(-banglerad)*K32+SIN(-banglerad)*I32)*1000+'Coords-Trans'!$J$8-'Coords-Trans'!$J$10)+SIN('Coords-Trans'!$T$4)*((-SIN(-banglerad)*K32+COS(-banglerad)*I32)*1000+'Coords-Trans'!$K$8-'Coords-Trans'!$K$10))</f>
        <v>23271.556418754641</v>
      </c>
      <c r="G32" s="198">
        <f>(-SIN('Coords-Trans'!$T$4)*((COS(-banglerad)*K32+SIN(-banglerad)*I32)*1000+'Coords-Trans'!$J$8-'Coords-Trans'!$J$10)+COS('Coords-Trans'!$T$4)*((-SIN(-banglerad)*K32+COS(-banglerad)*I32)*1000+'Coords-Trans'!$K$8-'Coords-Trans'!$K$10))</f>
        <v>54.553009077035313</v>
      </c>
      <c r="H32" s="270">
        <f t="shared" si="0"/>
        <v>-136.3921879969179</v>
      </c>
      <c r="I32" s="350">
        <f t="shared" si="17"/>
        <v>-0.11581874846689805</v>
      </c>
      <c r="J32" s="332">
        <f t="shared" si="18"/>
        <v>-0.13639218799691791</v>
      </c>
      <c r="K32" s="333">
        <f t="shared" si="19"/>
        <v>23.295519116132731</v>
      </c>
      <c r="L32" s="350">
        <f t="shared" si="1"/>
        <v>-0.115822252067646</v>
      </c>
      <c r="M32" s="332">
        <f t="shared" si="2"/>
        <v>-0.13640524522172612</v>
      </c>
      <c r="N32" s="333">
        <f t="shared" si="3"/>
        <v>23.296519024746431</v>
      </c>
      <c r="O32" s="58">
        <v>1E-3</v>
      </c>
      <c r="P32" s="58">
        <f t="shared" si="8"/>
        <v>23.298214552347645</v>
      </c>
      <c r="Q32" s="56"/>
      <c r="R32" s="59"/>
      <c r="S32" s="153"/>
      <c r="T32" s="153"/>
      <c r="U32" s="153"/>
      <c r="V32" s="153"/>
      <c r="W32" s="399"/>
      <c r="X32" s="190"/>
      <c r="Y32" s="190"/>
      <c r="Z32" s="400"/>
      <c r="AA32" s="423"/>
      <c r="AB32" s="59"/>
      <c r="AD32" s="10" t="s">
        <v>177</v>
      </c>
      <c r="AE32" s="10" t="s">
        <v>178</v>
      </c>
      <c r="AF32" s="10" t="s">
        <v>179</v>
      </c>
    </row>
    <row r="33" spans="1:32" ht="16" thickBot="1" x14ac:dyDescent="0.25">
      <c r="A33" s="60">
        <v>2</v>
      </c>
      <c r="B33" s="61" t="s">
        <v>67</v>
      </c>
      <c r="C33" s="61" t="s">
        <v>129</v>
      </c>
      <c r="D33" s="450">
        <f t="shared" si="9"/>
        <v>-0.76069649007410889</v>
      </c>
      <c r="E33" s="461">
        <f t="shared" si="4"/>
        <v>0.19572140397035587</v>
      </c>
      <c r="F33" s="237">
        <f>(COS('Coords-Trans'!$T$4)*((COS(-banglerad)*K33+SIN(-banglerad)*I33)*1000+'Coords-Trans'!$J$8-'Coords-Trans'!$J$10)+SIN('Coords-Trans'!$T$4)*((-SIN(-banglerad)*K33+COS(-banglerad)*I33)*1000+'Coords-Trans'!$K$8-'Coords-Trans'!$K$10))</f>
        <v>23272.556319869182</v>
      </c>
      <c r="G33" s="199">
        <f>(-SIN('Coords-Trans'!$T$4)*((COS(-banglerad)*K33+SIN(-banglerad)*I33)*1000+'Coords-Trans'!$J$8-'Coords-Trans'!$J$10)+COS('Coords-Trans'!$T$4)*((-SIN(-banglerad)*K33+COS(-banglerad)*I33)*1000+'Coords-Trans'!$K$8-'Coords-Trans'!$K$10))</f>
        <v>54.558231347709807</v>
      </c>
      <c r="H33" s="271">
        <f t="shared" si="0"/>
        <v>-136.40524522172612</v>
      </c>
      <c r="I33" s="351">
        <f t="shared" si="17"/>
        <v>-0.115822252067646</v>
      </c>
      <c r="J33" s="334">
        <f t="shared" si="18"/>
        <v>-0.13640524522172612</v>
      </c>
      <c r="K33" s="335">
        <f t="shared" si="19"/>
        <v>23.296519024746431</v>
      </c>
      <c r="L33" s="351">
        <f t="shared" si="1"/>
        <v>-0.11821343545834673</v>
      </c>
      <c r="M33" s="334">
        <f t="shared" si="2"/>
        <v>-0.14569863304450731</v>
      </c>
      <c r="N33" s="335">
        <f t="shared" si="3"/>
        <v>23.996453247507809</v>
      </c>
      <c r="O33" s="62">
        <v>0.7</v>
      </c>
      <c r="P33" s="62">
        <f t="shared" si="8"/>
        <v>23.998214558823555</v>
      </c>
      <c r="Q33" s="60">
        <v>4000</v>
      </c>
      <c r="R33" s="63">
        <v>1600</v>
      </c>
      <c r="S33" s="154">
        <v>70</v>
      </c>
      <c r="T33" s="154">
        <v>70</v>
      </c>
      <c r="U33" s="154">
        <v>55</v>
      </c>
      <c r="V33" s="154">
        <v>55</v>
      </c>
      <c r="W33" s="401">
        <v>3.5</v>
      </c>
      <c r="X33" s="191">
        <v>3</v>
      </c>
      <c r="Y33" s="191">
        <v>3</v>
      </c>
      <c r="Z33" s="402">
        <v>3.5</v>
      </c>
      <c r="AA33" s="424" t="s">
        <v>31</v>
      </c>
      <c r="AB33" s="63"/>
      <c r="AD33" s="10">
        <v>-0.1313002073514308</v>
      </c>
      <c r="AE33" s="10">
        <v>-0.2021</v>
      </c>
      <c r="AF33" s="10">
        <v>27.882432253474747</v>
      </c>
    </row>
    <row r="34" spans="1:32" ht="16" thickBot="1" x14ac:dyDescent="0.25">
      <c r="A34" s="11" t="s">
        <v>43</v>
      </c>
      <c r="B34" s="11"/>
      <c r="C34" s="11"/>
      <c r="D34" s="449">
        <f t="shared" si="9"/>
        <v>-0.77326575170479128</v>
      </c>
      <c r="E34" s="460">
        <f t="shared" si="4"/>
        <v>0.19069369931808289</v>
      </c>
      <c r="F34" s="236">
        <f>(COS('Coords-Trans'!$T$4)*((COS(-banglerad)*K34+SIN(-banglerad)*I34)*1000+'Coords-Trans'!$J$8-'Coords-Trans'!$J$10)+SIN('Coords-Trans'!$T$4)*((-SIN(-banglerad)*K34+COS(-banglerad)*I34)*1000+'Coords-Trans'!$K$8-'Coords-Trans'!$K$10))</f>
        <v>23972.484758026822</v>
      </c>
      <c r="G34" s="200">
        <f>(-SIN('Coords-Trans'!$T$4)*((COS(-banglerad)*K34+SIN(-banglerad)*I34)*1000+'Coords-Trans'!$J$8-'Coords-Trans'!$J$10)+COS('Coords-Trans'!$T$4)*((-SIN(-banglerad)*K34+COS(-banglerad)*I34)*1000+'Coords-Trans'!$K$8-'Coords-Trans'!$K$10))</f>
        <v>58.27513984739744</v>
      </c>
      <c r="H34" s="270">
        <f t="shared" si="0"/>
        <v>-145.69863304450732</v>
      </c>
      <c r="I34" s="350">
        <f t="shared" si="17"/>
        <v>-0.11821343545834673</v>
      </c>
      <c r="J34" s="336">
        <f t="shared" si="18"/>
        <v>-0.14569863304450731</v>
      </c>
      <c r="K34" s="333">
        <f t="shared" si="19"/>
        <v>23.996453247507809</v>
      </c>
      <c r="L34" s="350">
        <f t="shared" si="1"/>
        <v>-0.11822009191188945</v>
      </c>
      <c r="M34" s="336">
        <f t="shared" si="2"/>
        <v>-0.14572562429183281</v>
      </c>
      <c r="N34" s="333">
        <f t="shared" si="3"/>
        <v>23.998453054291542</v>
      </c>
      <c r="O34" s="58">
        <v>2E-3</v>
      </c>
      <c r="P34" s="58">
        <f t="shared" si="8"/>
        <v>24.000214558823554</v>
      </c>
      <c r="Q34" s="56"/>
      <c r="R34" s="59"/>
      <c r="S34" s="155"/>
      <c r="T34" s="155"/>
      <c r="U34" s="155"/>
      <c r="V34" s="155"/>
      <c r="W34" s="399"/>
      <c r="X34" s="190"/>
      <c r="Y34" s="190"/>
      <c r="Z34" s="400"/>
      <c r="AA34" s="423"/>
      <c r="AB34" s="11"/>
    </row>
    <row r="35" spans="1:32" x14ac:dyDescent="0.2">
      <c r="A35" s="47">
        <v>2</v>
      </c>
      <c r="B35" s="39" t="s">
        <v>68</v>
      </c>
      <c r="C35" s="39" t="s">
        <v>130</v>
      </c>
      <c r="D35" s="445">
        <f t="shared" si="9"/>
        <v>-0.80911142376266343</v>
      </c>
      <c r="E35" s="456">
        <f t="shared" si="4"/>
        <v>0.17635543049493405</v>
      </c>
      <c r="F35" s="231">
        <f>(COS('Coords-Trans'!$T$4)*((COS(-banglerad)*K35+SIN(-banglerad)*I35)*1000+'Coords-Trans'!$J$8-'Coords-Trans'!$J$10)+SIN('Coords-Trans'!$T$4)*((-SIN(-banglerad)*K35+COS(-banglerad)*I35)*1000+'Coords-Trans'!$K$8-'Coords-Trans'!$K$10))</f>
        <v>23974.484546751813</v>
      </c>
      <c r="G35" s="193">
        <f>(-SIN('Coords-Trans'!$T$4)*((COS(-banglerad)*K35+SIN(-banglerad)*I35)*1000+'Coords-Trans'!$J$8-'Coords-Trans'!$J$10)+COS('Coords-Trans'!$T$4)*((-SIN(-banglerad)*K35+COS(-banglerad)*I35)*1000+'Coords-Trans'!$K$8-'Coords-Trans'!$K$10))</f>
        <v>58.28593503220327</v>
      </c>
      <c r="H35" s="265">
        <f t="shared" si="0"/>
        <v>-145.72562429183282</v>
      </c>
      <c r="I35" s="345">
        <f t="shared" si="17"/>
        <v>-0.11822009191188945</v>
      </c>
      <c r="J35" s="322">
        <f t="shared" si="18"/>
        <v>-0.14572562429183281</v>
      </c>
      <c r="K35" s="323">
        <f t="shared" si="19"/>
        <v>23.998453054291542</v>
      </c>
      <c r="L35" s="345">
        <f t="shared" si="1"/>
        <v>-0.12437604802346296</v>
      </c>
      <c r="M35" s="322">
        <f t="shared" si="2"/>
        <v>-0.17396800230199186</v>
      </c>
      <c r="N35" s="323">
        <f t="shared" si="3"/>
        <v>25.998244163344037</v>
      </c>
      <c r="O35" s="38">
        <v>2</v>
      </c>
      <c r="P35" s="38">
        <f t="shared" si="8"/>
        <v>26.000214709865247</v>
      </c>
      <c r="Q35" s="47">
        <v>4000</v>
      </c>
      <c r="R35" s="40">
        <v>1600</v>
      </c>
      <c r="S35" s="148">
        <v>70</v>
      </c>
      <c r="T35" s="148">
        <v>70</v>
      </c>
      <c r="U35" s="148">
        <v>55</v>
      </c>
      <c r="V35" s="148">
        <v>55</v>
      </c>
      <c r="W35" s="405">
        <v>3.5</v>
      </c>
      <c r="X35" s="390">
        <v>3</v>
      </c>
      <c r="Y35" s="390">
        <v>3</v>
      </c>
      <c r="Z35" s="406">
        <v>3.5</v>
      </c>
      <c r="AA35" s="418" t="s">
        <v>24</v>
      </c>
      <c r="AB35" s="40" t="s">
        <v>180</v>
      </c>
    </row>
    <row r="36" spans="1:32" x14ac:dyDescent="0.2">
      <c r="A36" s="48" t="s">
        <v>43</v>
      </c>
      <c r="B36" s="42" t="s">
        <v>68</v>
      </c>
      <c r="C36" s="42"/>
      <c r="D36" s="446">
        <f t="shared" si="9"/>
        <v>-0.8449391908894377</v>
      </c>
      <c r="E36" s="457">
        <f t="shared" si="4"/>
        <v>0.16202432364422434</v>
      </c>
      <c r="F36" s="232">
        <f>(COS('Coords-Trans'!$T$4)*((COS(-banglerad)*K36+SIN(-banglerad)*I36)*1000+'Coords-Trans'!$J$8-'Coords-Trans'!$J$10)+SIN('Coords-Trans'!$T$4)*((-SIN(-banglerad)*K36+COS(-banglerad)*I36)*1000+'Coords-Trans'!$K$8-'Coords-Trans'!$K$10))</f>
        <v>25974.253230056114</v>
      </c>
      <c r="G36" s="194">
        <f>(-SIN('Coords-Trans'!$T$4)*((COS(-banglerad)*K36+SIN(-banglerad)*I36)*1000+'Coords-Trans'!$J$8-'Coords-Trans'!$J$10)+COS('Coords-Trans'!$T$4)*((-SIN(-banglerad)*K36+COS(-banglerad)*I36)*1000+'Coords-Trans'!$K$8-'Coords-Trans'!$K$10))</f>
        <v>69.581461423051223</v>
      </c>
      <c r="H36" s="266">
        <f t="shared" si="0"/>
        <v>-173.96800230199185</v>
      </c>
      <c r="I36" s="346">
        <f t="shared" si="17"/>
        <v>-0.12437604802346296</v>
      </c>
      <c r="J36" s="324">
        <f t="shared" si="18"/>
        <v>-0.17396800230199186</v>
      </c>
      <c r="K36" s="325">
        <f t="shared" si="19"/>
        <v>25.998244163344037</v>
      </c>
      <c r="L36" s="346">
        <f t="shared" si="1"/>
        <v>-0.1243788758776099</v>
      </c>
      <c r="M36" s="324">
        <f t="shared" si="2"/>
        <v>-0.17398274873834613</v>
      </c>
      <c r="N36" s="325">
        <f t="shared" si="3"/>
        <v>25.99924405061148</v>
      </c>
      <c r="O36" s="41">
        <v>1E-3</v>
      </c>
      <c r="P36" s="41">
        <f t="shared" si="8"/>
        <v>26.001214709865248</v>
      </c>
      <c r="Q36" s="48"/>
      <c r="R36" s="43"/>
      <c r="S36" s="149"/>
      <c r="T36" s="149"/>
      <c r="U36" s="149"/>
      <c r="V36" s="149"/>
      <c r="W36" s="407"/>
      <c r="X36" s="391"/>
      <c r="Y36" s="391"/>
      <c r="Z36" s="408"/>
      <c r="AA36" s="419"/>
      <c r="AB36" s="43"/>
    </row>
    <row r="37" spans="1:32" ht="16" thickBot="1" x14ac:dyDescent="0.25">
      <c r="A37" s="51">
        <v>2</v>
      </c>
      <c r="B37" s="45" t="s">
        <v>68</v>
      </c>
      <c r="C37" s="45" t="s">
        <v>185</v>
      </c>
      <c r="D37" s="447">
        <f t="shared" si="9"/>
        <v>-0.87897646490642811</v>
      </c>
      <c r="E37" s="458">
        <f t="shared" si="4"/>
        <v>0.14840941403742816</v>
      </c>
      <c r="F37" s="233">
        <f>(COS('Coords-Trans'!$T$4)*((COS(-banglerad)*K37+SIN(-banglerad)*I37)*1000+'Coords-Trans'!$J$8-'Coords-Trans'!$J$10)+SIN('Coords-Trans'!$T$4)*((-SIN(-banglerad)*K37+COS(-banglerad)*I37)*1000+'Coords-Trans'!$K$8-'Coords-Trans'!$K$10))</f>
        <v>25975.253103928284</v>
      </c>
      <c r="G37" s="195">
        <f>(-SIN('Coords-Trans'!$T$4)*((COS(-banglerad)*K37+SIN(-banglerad)*I37)*1000+'Coords-Trans'!$J$8-'Coords-Trans'!$J$10)+COS('Coords-Trans'!$T$4)*((-SIN(-banglerad)*K37+COS(-banglerad)*I37)*1000+'Coords-Trans'!$K$8-'Coords-Trans'!$K$10))</f>
        <v>69.587359228316927</v>
      </c>
      <c r="H37" s="267">
        <f t="shared" si="0"/>
        <v>-173.98274873834612</v>
      </c>
      <c r="I37" s="347">
        <f>L36</f>
        <v>-0.1243788758776099</v>
      </c>
      <c r="J37" s="326">
        <f>M36</f>
        <v>-0.17398274873834613</v>
      </c>
      <c r="K37" s="327">
        <f>N36</f>
        <v>25.99924405061148</v>
      </c>
      <c r="L37" s="347">
        <f t="shared" si="1"/>
        <v>-0.12930031291459365</v>
      </c>
      <c r="M37" s="326">
        <f t="shared" si="2"/>
        <v>-0.20312956882032993</v>
      </c>
      <c r="N37" s="327">
        <f t="shared" si="3"/>
        <v>27.899014101969378</v>
      </c>
      <c r="O37" s="44">
        <v>1.9</v>
      </c>
      <c r="P37" s="44">
        <f t="shared" si="8"/>
        <v>27.90121483936462</v>
      </c>
      <c r="Q37" s="51">
        <v>4000</v>
      </c>
      <c r="R37" s="46">
        <v>1600</v>
      </c>
      <c r="S37" s="150">
        <v>70</v>
      </c>
      <c r="T37" s="150">
        <v>70</v>
      </c>
      <c r="U37" s="150">
        <v>55</v>
      </c>
      <c r="V37" s="150">
        <v>55</v>
      </c>
      <c r="W37" s="409">
        <v>3.5</v>
      </c>
      <c r="X37" s="392">
        <v>3</v>
      </c>
      <c r="Y37" s="392">
        <v>3</v>
      </c>
      <c r="Z37" s="410">
        <v>3.5</v>
      </c>
      <c r="AA37" s="420" t="s">
        <v>24</v>
      </c>
      <c r="AB37" s="46" t="s">
        <v>181</v>
      </c>
    </row>
    <row r="38" spans="1:32" ht="16" thickBot="1" x14ac:dyDescent="0.25">
      <c r="A38" s="11" t="s">
        <v>43</v>
      </c>
      <c r="B38" s="11"/>
      <c r="C38" s="11"/>
      <c r="D38" s="449">
        <f t="shared" si="9"/>
        <v>-0.91303164385451641</v>
      </c>
      <c r="E38" s="460">
        <f t="shared" si="4"/>
        <v>0.13478734245819285</v>
      </c>
      <c r="F38" s="236">
        <f>(COS('Coords-Trans'!$T$4)*((COS(-banglerad)*K38+SIN(-banglerad)*I38)*1000+'Coords-Trans'!$J$8-'Coords-Trans'!$J$10)+SIN('Coords-Trans'!$T$4)*((-SIN(-banglerad)*K38+COS(-banglerad)*I38)*1000+'Coords-Trans'!$K$8-'Coords-Trans'!$K$10))</f>
        <v>27874.993764958854</v>
      </c>
      <c r="G38" s="200">
        <f>(-SIN('Coords-Trans'!$T$4)*((COS(-banglerad)*K38+SIN(-banglerad)*I38)*1000+'Coords-Trans'!$J$8-'Coords-Trans'!$J$10)+COS('Coords-Trans'!$T$4)*((-SIN(-banglerad)*K38+COS(-banglerad)*I38)*1000+'Coords-Trans'!$K$8-'Coords-Trans'!$K$10))</f>
        <v>81.244520376498258</v>
      </c>
      <c r="H38" s="270">
        <f t="shared" si="0"/>
        <v>-203.12956882032992</v>
      </c>
      <c r="I38" s="350">
        <f t="shared" si="17"/>
        <v>-0.12930031291459365</v>
      </c>
      <c r="J38" s="336">
        <f t="shared" si="18"/>
        <v>-0.20312956882032993</v>
      </c>
      <c r="K38" s="333">
        <f t="shared" si="19"/>
        <v>27.899014101969378</v>
      </c>
      <c r="L38" s="350">
        <f t="shared" si="1"/>
        <v>-0.12930501787608578</v>
      </c>
      <c r="M38" s="336">
        <f t="shared" si="2"/>
        <v>-0.20316143828820282</v>
      </c>
      <c r="N38" s="333">
        <f t="shared" si="3"/>
        <v>27.901013842504042</v>
      </c>
      <c r="O38" s="58">
        <v>2E-3</v>
      </c>
      <c r="P38" s="58">
        <f t="shared" si="8"/>
        <v>27.903214839364619</v>
      </c>
      <c r="Q38" s="56"/>
      <c r="R38" s="59"/>
      <c r="S38" s="155"/>
      <c r="T38" s="155"/>
      <c r="U38" s="155"/>
      <c r="V38" s="155"/>
      <c r="W38" s="56"/>
      <c r="X38" s="57"/>
      <c r="Y38" s="57"/>
      <c r="Z38" s="59"/>
      <c r="AA38" s="423"/>
      <c r="AB38" s="175"/>
    </row>
    <row r="39" spans="1:32" x14ac:dyDescent="0.2">
      <c r="A39" s="52">
        <v>2</v>
      </c>
      <c r="B39" s="53" t="s">
        <v>69</v>
      </c>
      <c r="C39" s="53" t="s">
        <v>254</v>
      </c>
      <c r="D39" s="448">
        <f t="shared" si="9"/>
        <v>-0.92205572912782685</v>
      </c>
      <c r="E39" s="459">
        <f t="shared" si="4"/>
        <v>0.13117770834886866</v>
      </c>
      <c r="F39" s="235">
        <f>(COS('Coords-Trans'!$T$4)*((COS(-banglerad)*K39+SIN(-banglerad)*I39)*1000+'Coords-Trans'!$J$8-'Coords-Trans'!$J$10)+SIN('Coords-Trans'!$T$4)*((-SIN(-banglerad)*K39+COS(-banglerad)*I39)*1000+'Coords-Trans'!$K$8-'Coords-Trans'!$K$10))</f>
        <v>27876.993470407539</v>
      </c>
      <c r="G39" s="197">
        <f>(-SIN('Coords-Trans'!$T$4)*((COS(-banglerad)*K39+SIN(-banglerad)*I39)*1000+'Coords-Trans'!$J$8-'Coords-Trans'!$J$10)+COS('Coords-Trans'!$T$4)*((-SIN(-banglerad)*K39+COS(-banglerad)*I39)*1000+'Coords-Trans'!$K$8-'Coords-Trans'!$K$10))</f>
        <v>81.257266400922163</v>
      </c>
      <c r="H39" s="269">
        <f t="shared" ref="H39" si="20">(J39*1000)</f>
        <v>-203.16143828820282</v>
      </c>
      <c r="I39" s="349">
        <f t="shared" ref="I39:K40" si="21">L38</f>
        <v>-0.12930501787608578</v>
      </c>
      <c r="J39" s="330">
        <f t="shared" si="21"/>
        <v>-0.20316143828820282</v>
      </c>
      <c r="K39" s="331">
        <f t="shared" si="21"/>
        <v>27.901013842504042</v>
      </c>
      <c r="L39" s="349">
        <f t="shared" ref="L39" si="22">I39-SIN(E39/180*PI())*O39</f>
        <v>-0.13045433729580055</v>
      </c>
      <c r="M39" s="330">
        <f t="shared" ref="M39" si="23">J39+SIN(D39/180*PI())*O39</f>
        <v>-0.21123972958619797</v>
      </c>
      <c r="N39" s="331">
        <f t="shared" ref="N39" si="24">K39+O39*COS(E39*PI()/180)*COS(D39*PI()/180)</f>
        <v>28.402947523996573</v>
      </c>
      <c r="O39" s="54">
        <v>0.502</v>
      </c>
      <c r="P39" s="54">
        <f t="shared" si="8"/>
        <v>28.405214841753079</v>
      </c>
      <c r="Q39" s="52">
        <v>4000</v>
      </c>
      <c r="R39" s="55">
        <v>1600</v>
      </c>
      <c r="S39" s="152">
        <v>70</v>
      </c>
      <c r="T39" s="152">
        <v>70</v>
      </c>
      <c r="U39" s="152">
        <v>55</v>
      </c>
      <c r="V39" s="152">
        <v>55</v>
      </c>
      <c r="W39" s="52">
        <v>3.5</v>
      </c>
      <c r="X39" s="53">
        <v>3</v>
      </c>
      <c r="Y39" s="53">
        <v>3</v>
      </c>
      <c r="Z39" s="55">
        <v>3.5</v>
      </c>
      <c r="AA39" s="422" t="s">
        <v>31</v>
      </c>
      <c r="AB39" s="55"/>
    </row>
    <row r="40" spans="1:32" x14ac:dyDescent="0.2">
      <c r="A40" s="381">
        <v>2</v>
      </c>
      <c r="B40" s="381" t="s">
        <v>69</v>
      </c>
      <c r="C40" s="381" t="s">
        <v>255</v>
      </c>
      <c r="D40" s="455">
        <f>D39-(O39/3200-O40/3200)*180/PI()</f>
        <v>-0.90422241775437995</v>
      </c>
      <c r="E40" s="382">
        <f t="shared" si="4"/>
        <v>0.11685376347059807</v>
      </c>
      <c r="F40" s="385">
        <f>(COS('Coords-Trans'!$T$4)*((COS(-banglerad)*K40+SIN(-banglerad)*I40)*1000+'Coords-Trans'!$J$8-'Coords-Trans'!$J$10)+SIN('Coords-Trans'!$T$4)*((-SIN(-banglerad)*K40+COS(-banglerad)*I40)*1000+'Coords-Trans'!$K$8-'Coords-Trans'!$K$10))</f>
        <v>28378.918069380205</v>
      </c>
      <c r="G40" s="383">
        <f>(-SIN('Coords-Trans'!$T$4)*((COS(-banglerad)*K40+SIN(-banglerad)*I40)*1000+'Coords-Trans'!$J$8-'Coords-Trans'!$J$10)+COS('Coords-Trans'!$T$4)*((-SIN(-banglerad)*K40+COS(-banglerad)*I40)*1000+'Coords-Trans'!$K$8-'Coords-Trans'!$K$10))</f>
        <v>84.488132833139389</v>
      </c>
      <c r="H40" s="383">
        <f t="shared" si="0"/>
        <v>-211.23972958619797</v>
      </c>
      <c r="I40" s="386">
        <f t="shared" si="21"/>
        <v>-0.13045433729580055</v>
      </c>
      <c r="J40" s="384">
        <f t="shared" si="21"/>
        <v>-0.21123972958619797</v>
      </c>
      <c r="K40" s="384">
        <f t="shared" si="21"/>
        <v>28.402947523996573</v>
      </c>
      <c r="L40" s="386">
        <f t="shared" si="1"/>
        <v>-0.13350948058585735</v>
      </c>
      <c r="M40" s="384">
        <f t="shared" si="2"/>
        <v>-0.23487967248425196</v>
      </c>
      <c r="N40" s="384">
        <f t="shared" si="3"/>
        <v>29.900757866304225</v>
      </c>
      <c r="O40" s="387">
        <v>1.498</v>
      </c>
      <c r="P40" s="387">
        <f t="shared" si="8"/>
        <v>29.903214905219244</v>
      </c>
      <c r="Q40" s="411">
        <v>4000</v>
      </c>
      <c r="R40" s="412">
        <v>-1600</v>
      </c>
      <c r="S40" s="388">
        <v>70</v>
      </c>
      <c r="T40" s="388">
        <v>70</v>
      </c>
      <c r="U40" s="388">
        <v>55</v>
      </c>
      <c r="V40" s="388">
        <v>55</v>
      </c>
      <c r="W40" s="411">
        <v>3</v>
      </c>
      <c r="X40" s="381">
        <v>3.5</v>
      </c>
      <c r="Y40" s="381">
        <v>2.5</v>
      </c>
      <c r="Z40" s="412">
        <v>3</v>
      </c>
      <c r="AA40" s="425" t="s">
        <v>31</v>
      </c>
      <c r="AB40" s="389" t="s">
        <v>186</v>
      </c>
    </row>
    <row r="41" spans="1:32" x14ac:dyDescent="0.2">
      <c r="A41" s="56" t="s">
        <v>43</v>
      </c>
      <c r="B41" s="57" t="s">
        <v>69</v>
      </c>
      <c r="C41" s="57"/>
      <c r="D41" s="449">
        <f>D40+(O40/3200+O41/3200)*180/PI()</f>
        <v>-0.87738292603872048</v>
      </c>
      <c r="E41" s="460">
        <f t="shared" si="4"/>
        <v>0.10611796678433427</v>
      </c>
      <c r="F41" s="236">
        <f>(COS('Coords-Trans'!$T$4)*((COS(-banglerad)*K41+SIN(-banglerad)*I41)*1000+'Coords-Trans'!$J$8-'Coords-Trans'!$J$10)+SIN('Coords-Trans'!$T$4)*((-SIN(-banglerad)*K41+COS(-banglerad)*I41)*1000+'Coords-Trans'!$K$8-'Coords-Trans'!$K$10))</f>
        <v>29876.698040475942</v>
      </c>
      <c r="G41" s="198">
        <f>(-SIN('Coords-Trans'!$T$4)*((COS(-banglerad)*K41+SIN(-banglerad)*I41)*1000+'Coords-Trans'!$J$8-'Coords-Trans'!$J$10)+COS('Coords-Trans'!$T$4)*((-SIN(-banglerad)*K41+COS(-banglerad)*I41)*1000+'Coords-Trans'!$K$8-'Coords-Trans'!$K$10))</f>
        <v>94.503800995556958</v>
      </c>
      <c r="H41" s="270">
        <f t="shared" si="0"/>
        <v>-234.87967248425196</v>
      </c>
      <c r="I41" s="350">
        <f t="shared" si="17"/>
        <v>-0.13350948058585735</v>
      </c>
      <c r="J41" s="332">
        <f t="shared" si="18"/>
        <v>-0.23487967248425196</v>
      </c>
      <c r="K41" s="333">
        <f t="shared" si="19"/>
        <v>29.900757866304225</v>
      </c>
      <c r="L41" s="350">
        <f t="shared" si="1"/>
        <v>-0.13351133269271437</v>
      </c>
      <c r="M41" s="332">
        <f t="shared" si="2"/>
        <v>-0.23489498510664086</v>
      </c>
      <c r="N41" s="333">
        <f t="shared" si="3"/>
        <v>29.901757747344199</v>
      </c>
      <c r="O41" s="58">
        <v>1E-3</v>
      </c>
      <c r="P41" s="58">
        <f t="shared" si="8"/>
        <v>29.904214905219245</v>
      </c>
      <c r="Q41" s="56"/>
      <c r="R41" s="59"/>
      <c r="S41" s="153"/>
      <c r="T41" s="153"/>
      <c r="U41" s="153"/>
      <c r="V41" s="153"/>
      <c r="W41" s="56"/>
      <c r="X41" s="57"/>
      <c r="Y41" s="57"/>
      <c r="Z41" s="59"/>
      <c r="AA41" s="423"/>
      <c r="AB41" s="59"/>
      <c r="AC41"/>
      <c r="AD41"/>
      <c r="AE41"/>
    </row>
    <row r="42" spans="1:32" ht="16" thickBot="1" x14ac:dyDescent="0.25">
      <c r="A42" s="60">
        <v>2</v>
      </c>
      <c r="B42" s="61" t="s">
        <v>69</v>
      </c>
      <c r="C42" s="61" t="s">
        <v>134</v>
      </c>
      <c r="D42" s="450">
        <f t="shared" ref="D42:D65" si="25">D41+(O41/3200+O42/3200)*180/PI()</f>
        <v>-0.84155515891194621</v>
      </c>
      <c r="E42" s="461">
        <f t="shared" si="4"/>
        <v>9.1786859933624565E-2</v>
      </c>
      <c r="F42" s="237">
        <f>(COS('Coords-Trans'!$T$4)*((COS(-banglerad)*K42+SIN(-banglerad)*I42)*1000+'Coords-Trans'!$J$8-'Coords-Trans'!$J$10)+SIN('Coords-Trans'!$T$4)*((-SIN(-banglerad)*K42+COS(-banglerad)*I42)*1000+'Coords-Trans'!$K$8-'Coords-Trans'!$K$10))</f>
        <v>29877.697899605984</v>
      </c>
      <c r="G42" s="199">
        <f>(-SIN('Coords-Trans'!$T$4)*((COS(-banglerad)*K42+SIN(-banglerad)*I42)*1000+'Coords-Trans'!$J$8-'Coords-Trans'!$J$10)+COS('Coords-Trans'!$T$4)*((-SIN(-banglerad)*K42+COS(-banglerad)*I42)*1000+'Coords-Trans'!$K$8-'Coords-Trans'!$K$10))</f>
        <v>94.510674456616471</v>
      </c>
      <c r="H42" s="271">
        <f t="shared" si="0"/>
        <v>-234.89498510664086</v>
      </c>
      <c r="I42" s="351">
        <f t="shared" si="17"/>
        <v>-0.13351133269271437</v>
      </c>
      <c r="J42" s="334">
        <f t="shared" si="18"/>
        <v>-0.23489498510664086</v>
      </c>
      <c r="K42" s="335">
        <f t="shared" si="19"/>
        <v>29.901757747344199</v>
      </c>
      <c r="L42" s="351">
        <f t="shared" si="1"/>
        <v>-0.13671529715411587</v>
      </c>
      <c r="M42" s="334">
        <f t="shared" si="2"/>
        <v>-0.26426974560808297</v>
      </c>
      <c r="N42" s="335">
        <f t="shared" si="3"/>
        <v>31.901539450498735</v>
      </c>
      <c r="O42" s="62">
        <v>2</v>
      </c>
      <c r="P42" s="62">
        <f t="shared" si="8"/>
        <v>31.904215056260938</v>
      </c>
      <c r="Q42" s="60">
        <v>4000</v>
      </c>
      <c r="R42" s="63">
        <v>-1600</v>
      </c>
      <c r="S42" s="154">
        <v>70</v>
      </c>
      <c r="T42" s="154">
        <v>70</v>
      </c>
      <c r="U42" s="154">
        <v>55</v>
      </c>
      <c r="V42" s="154">
        <v>55</v>
      </c>
      <c r="W42" s="60">
        <v>3</v>
      </c>
      <c r="X42" s="61">
        <v>3.5</v>
      </c>
      <c r="Y42" s="61">
        <v>2.5</v>
      </c>
      <c r="Z42" s="63">
        <v>3</v>
      </c>
      <c r="AA42" s="424" t="s">
        <v>31</v>
      </c>
      <c r="AB42" s="63"/>
      <c r="AC42" s="378"/>
      <c r="AD42"/>
      <c r="AE42"/>
    </row>
    <row r="43" spans="1:32" ht="16" thickBot="1" x14ac:dyDescent="0.25">
      <c r="A43" s="11" t="s">
        <v>43</v>
      </c>
      <c r="B43" s="11"/>
      <c r="C43" s="11"/>
      <c r="D43" s="449">
        <f t="shared" si="25"/>
        <v>-0.80570948685407406</v>
      </c>
      <c r="E43" s="460">
        <f t="shared" si="4"/>
        <v>7.7448591110475723E-2</v>
      </c>
      <c r="F43" s="236">
        <f>(COS('Coords-Trans'!$T$4)*((COS(-banglerad)*K43+SIN(-banglerad)*I43)*1000+'Coords-Trans'!$J$8-'Coords-Trans'!$J$10)+SIN('Coords-Trans'!$T$4)*((-SIN(-banglerad)*K43+COS(-banglerad)*I43)*1000+'Coords-Trans'!$K$8-'Coords-Trans'!$K$10))</f>
        <v>31877.431416710544</v>
      </c>
      <c r="G43" s="200">
        <f>(-SIN('Coords-Trans'!$T$4)*((COS(-banglerad)*K43+SIN(-banglerad)*I43)*1000+'Coords-Trans'!$J$8-'Coords-Trans'!$J$10)+COS('Coords-Trans'!$T$4)*((-SIN(-banglerad)*K43+COS(-banglerad)*I43)*1000+'Coords-Trans'!$K$8-'Coords-Trans'!$K$10))</f>
        <v>108.75799801393805</v>
      </c>
      <c r="H43" s="270">
        <f t="shared" si="0"/>
        <v>-264.26974560808299</v>
      </c>
      <c r="I43" s="350">
        <f t="shared" si="17"/>
        <v>-0.13671529715411587</v>
      </c>
      <c r="J43" s="336">
        <f t="shared" si="18"/>
        <v>-0.26426974560808297</v>
      </c>
      <c r="K43" s="333">
        <f t="shared" si="19"/>
        <v>31.901539450498735</v>
      </c>
      <c r="L43" s="350">
        <f t="shared" si="1"/>
        <v>-0.1367180006191244</v>
      </c>
      <c r="M43" s="336">
        <f t="shared" si="2"/>
        <v>-0.26429786924788384</v>
      </c>
      <c r="N43" s="333">
        <f t="shared" si="3"/>
        <v>31.903539250927178</v>
      </c>
      <c r="O43" s="58">
        <v>2E-3</v>
      </c>
      <c r="P43" s="58">
        <f t="shared" si="8"/>
        <v>31.906215056260937</v>
      </c>
      <c r="Q43" s="56"/>
      <c r="R43" s="59"/>
      <c r="S43" s="155"/>
      <c r="T43" s="155"/>
      <c r="U43" s="155"/>
      <c r="V43" s="155"/>
      <c r="W43" s="56"/>
      <c r="X43" s="57"/>
      <c r="Y43" s="57"/>
      <c r="Z43" s="59"/>
      <c r="AA43" s="423"/>
      <c r="AB43" s="11"/>
      <c r="AC43"/>
      <c r="AD43"/>
      <c r="AE43"/>
    </row>
    <row r="44" spans="1:32" x14ac:dyDescent="0.2">
      <c r="A44" s="52">
        <v>2</v>
      </c>
      <c r="B44" s="53" t="s">
        <v>73</v>
      </c>
      <c r="C44" s="53" t="s">
        <v>256</v>
      </c>
      <c r="D44" s="448">
        <f t="shared" si="25"/>
        <v>-0.76986381479620192</v>
      </c>
      <c r="E44" s="459">
        <f t="shared" si="4"/>
        <v>6.3110322287326881E-2</v>
      </c>
      <c r="F44" s="235">
        <f>(COS('Coords-Trans'!$T$4)*((COS(-banglerad)*K44+SIN(-banglerad)*I44)*1000+'Coords-Trans'!$J$8-'Coords-Trans'!$J$10)+SIN('Coords-Trans'!$T$4)*((-SIN(-banglerad)*K44+COS(-banglerad)*I44)*1000+'Coords-Trans'!$K$8-'Coords-Trans'!$K$10))</f>
        <v>31879.431164584603</v>
      </c>
      <c r="G44" s="197">
        <f>(-SIN('Coords-Trans'!$T$4)*((COS(-banglerad)*K44+SIN(-banglerad)*I44)*1000+'Coords-Trans'!$J$8-'Coords-Trans'!$J$10)+COS('Coords-Trans'!$T$4)*((-SIN(-banglerad)*K44+COS(-banglerad)*I44)*1000+'Coords-Trans'!$K$8-'Coords-Trans'!$K$10))</f>
        <v>108.7727459812977</v>
      </c>
      <c r="H44" s="269">
        <f t="shared" si="0"/>
        <v>-264.29786924788385</v>
      </c>
      <c r="I44" s="349">
        <f t="shared" si="17"/>
        <v>-0.1367180006191244</v>
      </c>
      <c r="J44" s="330">
        <f t="shared" si="18"/>
        <v>-0.26429786924788384</v>
      </c>
      <c r="K44" s="331">
        <f t="shared" si="19"/>
        <v>31.903539250927178</v>
      </c>
      <c r="L44" s="349">
        <f t="shared" si="1"/>
        <v>-0.13892096600547824</v>
      </c>
      <c r="M44" s="330">
        <f t="shared" si="2"/>
        <v>-0.291170377340433</v>
      </c>
      <c r="N44" s="331">
        <f t="shared" si="3"/>
        <v>33.903357496700643</v>
      </c>
      <c r="O44" s="54">
        <v>2</v>
      </c>
      <c r="P44" s="54">
        <f t="shared" si="8"/>
        <v>33.90621520730263</v>
      </c>
      <c r="Q44" s="52">
        <v>4000</v>
      </c>
      <c r="R44" s="55">
        <v>-1600</v>
      </c>
      <c r="S44" s="152">
        <v>70</v>
      </c>
      <c r="T44" s="152">
        <v>70</v>
      </c>
      <c r="U44" s="152">
        <v>55</v>
      </c>
      <c r="V44" s="152">
        <v>55</v>
      </c>
      <c r="W44" s="52">
        <v>3</v>
      </c>
      <c r="X44" s="53">
        <v>3.5</v>
      </c>
      <c r="Y44" s="53">
        <v>2.5</v>
      </c>
      <c r="Z44" s="55">
        <v>3</v>
      </c>
      <c r="AA44" s="422" t="s">
        <v>31</v>
      </c>
      <c r="AB44" s="55"/>
      <c r="AC44" s="378"/>
      <c r="AD44"/>
      <c r="AE44"/>
    </row>
    <row r="45" spans="1:32" x14ac:dyDescent="0.2">
      <c r="A45" s="56" t="s">
        <v>43</v>
      </c>
      <c r="B45" s="57" t="s">
        <v>73</v>
      </c>
      <c r="C45" s="57"/>
      <c r="D45" s="449">
        <f t="shared" si="25"/>
        <v>-0.73403604766942765</v>
      </c>
      <c r="E45" s="460">
        <f t="shared" si="4"/>
        <v>4.8779215436617167E-2</v>
      </c>
      <c r="F45" s="236">
        <f>(COS('Coords-Trans'!$T$4)*((COS(-banglerad)*K45+SIN(-banglerad)*I45)*1000+'Coords-Trans'!$J$8-'Coords-Trans'!$J$10)+SIN('Coords-Trans'!$T$4)*((-SIN(-banglerad)*K45+COS(-banglerad)*I45)*1000+'Coords-Trans'!$K$8-'Coords-Trans'!$K$10))</f>
        <v>33879.192487662702</v>
      </c>
      <c r="G45" s="198">
        <f>(-SIN('Coords-Trans'!$T$4)*((COS(-banglerad)*K45+SIN(-banglerad)*I45)*1000+'Coords-Trans'!$J$8-'Coords-Trans'!$J$10)+COS('Coords-Trans'!$T$4)*((-SIN(-banglerad)*K45+COS(-banglerad)*I45)*1000+'Coords-Trans'!$K$8-'Coords-Trans'!$K$10))</f>
        <v>124.02134938915697</v>
      </c>
      <c r="H45" s="270">
        <f t="shared" si="0"/>
        <v>-291.17037734043299</v>
      </c>
      <c r="I45" s="350">
        <f t="shared" si="17"/>
        <v>-0.13892096600547824</v>
      </c>
      <c r="J45" s="332">
        <f t="shared" si="18"/>
        <v>-0.291170377340433</v>
      </c>
      <c r="K45" s="333">
        <f t="shared" si="19"/>
        <v>33.903357496700643</v>
      </c>
      <c r="L45" s="350">
        <f t="shared" si="1"/>
        <v>-0.13892181736329129</v>
      </c>
      <c r="M45" s="332">
        <f t="shared" si="2"/>
        <v>-0.29118318833584039</v>
      </c>
      <c r="N45" s="333">
        <f t="shared" si="3"/>
        <v>33.904357414274102</v>
      </c>
      <c r="O45" s="58">
        <v>1E-3</v>
      </c>
      <c r="P45" s="58">
        <f t="shared" si="8"/>
        <v>33.907215207302627</v>
      </c>
      <c r="Q45" s="56"/>
      <c r="R45" s="59"/>
      <c r="S45" s="153"/>
      <c r="T45" s="153"/>
      <c r="U45" s="153"/>
      <c r="V45" s="153"/>
      <c r="W45" s="56"/>
      <c r="X45" s="57"/>
      <c r="Y45" s="57"/>
      <c r="Z45" s="59"/>
      <c r="AA45" s="423"/>
      <c r="AB45" s="59"/>
    </row>
    <row r="46" spans="1:32" ht="16" thickBot="1" x14ac:dyDescent="0.25">
      <c r="A46" s="60">
        <v>2</v>
      </c>
      <c r="B46" s="61" t="s">
        <v>73</v>
      </c>
      <c r="C46" s="61" t="s">
        <v>257</v>
      </c>
      <c r="D46" s="450">
        <f t="shared" si="25"/>
        <v>-0.69820828054265338</v>
      </c>
      <c r="E46" s="461">
        <f t="shared" si="4"/>
        <v>3.4448108585907453E-2</v>
      </c>
      <c r="F46" s="237">
        <f>(COS('Coords-Trans'!$T$4)*((COS(-banglerad)*K46+SIN(-banglerad)*I46)*1000+'Coords-Trans'!$J$8-'Coords-Trans'!$J$10)+SIN('Coords-Trans'!$T$4)*((-SIN(-banglerad)*K46+COS(-banglerad)*I46)*1000+'Coords-Trans'!$K$8-'Coords-Trans'!$K$10))</f>
        <v>33880.192374591767</v>
      </c>
      <c r="G46" s="199">
        <f>(-SIN('Coords-Trans'!$T$4)*((COS(-banglerad)*K46+SIN(-banglerad)*I46)*1000+'Coords-Trans'!$J$8-'Coords-Trans'!$J$10)+COS('Coords-Trans'!$T$4)*((-SIN(-banglerad)*K46+COS(-banglerad)*I46)*1000+'Coords-Trans'!$K$8-'Coords-Trans'!$K$10))</f>
        <v>124.02922387995932</v>
      </c>
      <c r="H46" s="271">
        <f t="shared" si="0"/>
        <v>-291.18318833584038</v>
      </c>
      <c r="I46" s="351">
        <f t="shared" si="17"/>
        <v>-0.13892181736329129</v>
      </c>
      <c r="J46" s="334">
        <f t="shared" si="18"/>
        <v>-0.29118318833584039</v>
      </c>
      <c r="K46" s="335">
        <f t="shared" si="19"/>
        <v>33.904357414274102</v>
      </c>
      <c r="L46" s="351">
        <f t="shared" si="1"/>
        <v>-0.14012428312266376</v>
      </c>
      <c r="M46" s="334">
        <f t="shared" si="2"/>
        <v>-0.31555465185438336</v>
      </c>
      <c r="N46" s="335">
        <f t="shared" si="3"/>
        <v>35.904208555248545</v>
      </c>
      <c r="O46" s="62">
        <v>2</v>
      </c>
      <c r="P46" s="62">
        <f t="shared" si="8"/>
        <v>35.907215358344324</v>
      </c>
      <c r="Q46" s="60">
        <v>4000</v>
      </c>
      <c r="R46" s="63">
        <v>-1600</v>
      </c>
      <c r="S46" s="154">
        <v>70</v>
      </c>
      <c r="T46" s="154">
        <v>70</v>
      </c>
      <c r="U46" s="154">
        <v>55</v>
      </c>
      <c r="V46" s="154">
        <v>55</v>
      </c>
      <c r="W46" s="60">
        <v>3</v>
      </c>
      <c r="X46" s="61">
        <v>3.5</v>
      </c>
      <c r="Y46" s="61">
        <v>2.5</v>
      </c>
      <c r="Z46" s="63">
        <v>3</v>
      </c>
      <c r="AA46" s="424" t="s">
        <v>31</v>
      </c>
      <c r="AB46" s="63"/>
    </row>
    <row r="47" spans="1:32" ht="16" thickBot="1" x14ac:dyDescent="0.25">
      <c r="A47" s="11" t="s">
        <v>43</v>
      </c>
      <c r="B47" s="11"/>
      <c r="C47" s="11"/>
      <c r="D47" s="449">
        <f t="shared" si="25"/>
        <v>-0.66236260848478123</v>
      </c>
      <c r="E47" s="460">
        <f t="shared" si="4"/>
        <v>2.0109839762758604E-2</v>
      </c>
      <c r="F47" s="236">
        <f>(COS('Coords-Trans'!$T$4)*((COS(-banglerad)*K47+SIN(-banglerad)*I47)*1000+'Coords-Trans'!$J$8-'Coords-Trans'!$J$10)+SIN('Coords-Trans'!$T$4)*((-SIN(-banglerad)*K47+COS(-banglerad)*I47)*1000+'Coords-Trans'!$K$8-'Coords-Trans'!$K$10))</f>
        <v>35879.977860722778</v>
      </c>
      <c r="G47" s="200">
        <f>(-SIN('Coords-Trans'!$T$4)*((COS(-banglerad)*K47+SIN(-banglerad)*I47)*1000+'Coords-Trans'!$J$8-'Coords-Trans'!$J$10)+COS('Coords-Trans'!$T$4)*((-SIN(-banglerad)*K47+COS(-banglerad)*I47)*1000+'Coords-Trans'!$K$8-'Coords-Trans'!$K$10))</f>
        <v>140.27857587997642</v>
      </c>
      <c r="H47" s="270">
        <f t="shared" si="0"/>
        <v>-315.55465185438334</v>
      </c>
      <c r="I47" s="350">
        <f t="shared" si="17"/>
        <v>-0.14012428312266376</v>
      </c>
      <c r="J47" s="336">
        <f t="shared" si="18"/>
        <v>-0.31555465185438336</v>
      </c>
      <c r="K47" s="333">
        <f t="shared" si="19"/>
        <v>35.904208555248545</v>
      </c>
      <c r="L47" s="350">
        <f t="shared" si="1"/>
        <v>-0.14012498508848117</v>
      </c>
      <c r="M47" s="336">
        <f t="shared" si="2"/>
        <v>-0.31557777215611776</v>
      </c>
      <c r="N47" s="333">
        <f t="shared" si="3"/>
        <v>35.906208421483811</v>
      </c>
      <c r="O47" s="58">
        <v>2E-3</v>
      </c>
      <c r="P47" s="58">
        <f t="shared" si="8"/>
        <v>35.909215358344326</v>
      </c>
      <c r="Q47" s="56"/>
      <c r="R47" s="59"/>
      <c r="S47" s="155"/>
      <c r="T47" s="155"/>
      <c r="U47" s="155"/>
      <c r="V47" s="155"/>
      <c r="W47" s="56"/>
      <c r="X47" s="57"/>
      <c r="Y47" s="57"/>
      <c r="Z47" s="59"/>
      <c r="AA47" s="423"/>
      <c r="AB47" s="11"/>
    </row>
    <row r="48" spans="1:32" x14ac:dyDescent="0.2">
      <c r="A48" s="52">
        <v>2</v>
      </c>
      <c r="B48" s="53" t="s">
        <v>74</v>
      </c>
      <c r="C48" s="53" t="s">
        <v>258</v>
      </c>
      <c r="D48" s="448">
        <f t="shared" si="25"/>
        <v>-0.62651693642690909</v>
      </c>
      <c r="E48" s="459">
        <f t="shared" si="4"/>
        <v>5.7715709396097548E-3</v>
      </c>
      <c r="F48" s="235">
        <f>(COS('Coords-Trans'!$T$4)*((COS(-banglerad)*K48+SIN(-banglerad)*I48)*1000+'Coords-Trans'!$J$8-'Coords-Trans'!$J$10)+SIN('Coords-Trans'!$T$4)*((-SIN(-banglerad)*K48+COS(-banglerad)*I48)*1000+'Coords-Trans'!$K$8-'Coords-Trans'!$K$10))</f>
        <v>35881.977656935</v>
      </c>
      <c r="G48" s="197">
        <f>(-SIN('Coords-Trans'!$T$4)*((COS(-banglerad)*K48+SIN(-banglerad)*I48)*1000+'Coords-Trans'!$J$8-'Coords-Trans'!$J$10)+COS('Coords-Trans'!$T$4)*((-SIN(-banglerad)*K48+COS(-banglerad)*I48)*1000+'Coords-Trans'!$K$8-'Coords-Trans'!$K$10))</f>
        <v>140.29532584458138</v>
      </c>
      <c r="H48" s="269">
        <f t="shared" si="0"/>
        <v>-315.57777215611776</v>
      </c>
      <c r="I48" s="349">
        <f t="shared" si="17"/>
        <v>-0.14012498508848117</v>
      </c>
      <c r="J48" s="330">
        <f t="shared" si="18"/>
        <v>-0.31557777215611776</v>
      </c>
      <c r="K48" s="331">
        <f t="shared" si="19"/>
        <v>35.906208421483811</v>
      </c>
      <c r="L48" s="349">
        <f t="shared" si="1"/>
        <v>-0.14032645091995768</v>
      </c>
      <c r="M48" s="330">
        <f t="shared" si="2"/>
        <v>-0.33744690305689234</v>
      </c>
      <c r="N48" s="331">
        <f t="shared" si="3"/>
        <v>37.906088843041566</v>
      </c>
      <c r="O48" s="54">
        <v>2</v>
      </c>
      <c r="P48" s="54">
        <f t="shared" si="8"/>
        <v>37.909215509386023</v>
      </c>
      <c r="Q48" s="52">
        <v>4000</v>
      </c>
      <c r="R48" s="55">
        <v>-1600</v>
      </c>
      <c r="S48" s="152">
        <v>70</v>
      </c>
      <c r="T48" s="152">
        <v>70</v>
      </c>
      <c r="U48" s="152">
        <v>55</v>
      </c>
      <c r="V48" s="152">
        <v>55</v>
      </c>
      <c r="W48" s="52">
        <v>3</v>
      </c>
      <c r="X48" s="53">
        <v>3.5</v>
      </c>
      <c r="Y48" s="53">
        <v>2.5</v>
      </c>
      <c r="Z48" s="55">
        <v>3</v>
      </c>
      <c r="AA48" s="422" t="s">
        <v>31</v>
      </c>
      <c r="AB48" s="55"/>
    </row>
    <row r="49" spans="1:28" x14ac:dyDescent="0.2">
      <c r="A49" s="56" t="s">
        <v>43</v>
      </c>
      <c r="B49" s="57" t="s">
        <v>74</v>
      </c>
      <c r="C49" s="57"/>
      <c r="D49" s="449">
        <f t="shared" si="25"/>
        <v>-0.59068916930013482</v>
      </c>
      <c r="E49" s="460">
        <f t="shared" si="4"/>
        <v>-8.5595359110999594E-3</v>
      </c>
      <c r="F49" s="236">
        <f>(COS('Coords-Trans'!$T$4)*((COS(-banglerad)*K49+SIN(-banglerad)*I49)*1000+'Coords-Trans'!$J$8-'Coords-Trans'!$J$10)+SIN('Coords-Trans'!$T$4)*((-SIN(-banglerad)*K49+COS(-banglerad)*I49)*1000+'Coords-Trans'!$K$8-'Coords-Trans'!$K$10))</f>
        <v>37881.783687273004</v>
      </c>
      <c r="G49" s="198">
        <f>(-SIN('Coords-Trans'!$T$4)*((COS(-banglerad)*K49+SIN(-banglerad)*I49)*1000+'Coords-Trans'!$J$8-'Coords-Trans'!$J$10)+COS('Coords-Trans'!$T$4)*((-SIN(-banglerad)*K49+COS(-banglerad)*I49)*1000+'Coords-Trans'!$K$8-'Coords-Trans'!$K$10))</f>
        <v>157.54589517553177</v>
      </c>
      <c r="H49" s="270">
        <f t="shared" si="0"/>
        <v>-337.44690305689232</v>
      </c>
      <c r="I49" s="350">
        <f t="shared" si="17"/>
        <v>-0.14032645091995768</v>
      </c>
      <c r="J49" s="332">
        <f t="shared" si="18"/>
        <v>-0.33744690305689234</v>
      </c>
      <c r="K49" s="333">
        <f t="shared" si="19"/>
        <v>37.906088843041566</v>
      </c>
      <c r="L49" s="350">
        <f t="shared" si="1"/>
        <v>-0.14032630152787415</v>
      </c>
      <c r="M49" s="332">
        <f t="shared" si="2"/>
        <v>-0.33745721234512949</v>
      </c>
      <c r="N49" s="333">
        <f t="shared" si="3"/>
        <v>37.907088789888284</v>
      </c>
      <c r="O49" s="58">
        <v>1E-3</v>
      </c>
      <c r="P49" s="58">
        <f t="shared" si="8"/>
        <v>37.91021550938602</v>
      </c>
      <c r="Q49" s="56"/>
      <c r="R49" s="59"/>
      <c r="S49" s="153"/>
      <c r="T49" s="153"/>
      <c r="U49" s="153"/>
      <c r="V49" s="153"/>
      <c r="W49" s="56"/>
      <c r="X49" s="57"/>
      <c r="Y49" s="57"/>
      <c r="Z49" s="59"/>
      <c r="AA49" s="423"/>
      <c r="AB49" s="59"/>
    </row>
    <row r="50" spans="1:28" ht="16" thickBot="1" x14ac:dyDescent="0.25">
      <c r="A50" s="60">
        <v>2</v>
      </c>
      <c r="B50" s="61" t="s">
        <v>74</v>
      </c>
      <c r="C50" s="61" t="s">
        <v>259</v>
      </c>
      <c r="D50" s="450">
        <f t="shared" si="25"/>
        <v>-0.55486140217336055</v>
      </c>
      <c r="E50" s="461">
        <f t="shared" si="4"/>
        <v>-2.2890642761809674E-2</v>
      </c>
      <c r="F50" s="237">
        <f>(COS('Coords-Trans'!$T$4)*((COS(-banglerad)*K50+SIN(-banglerad)*I50)*1000+'Coords-Trans'!$J$8-'Coords-Trans'!$J$10)+SIN('Coords-Trans'!$T$4)*((-SIN(-banglerad)*K50+COS(-banglerad)*I50)*1000+'Coords-Trans'!$K$8-'Coords-Trans'!$K$10))</f>
        <v>37882.783594741137</v>
      </c>
      <c r="G50" s="199">
        <f>(-SIN('Coords-Trans'!$T$4)*((COS(-banglerad)*K50+SIN(-banglerad)*I50)*1000+'Coords-Trans'!$J$8-'Coords-Trans'!$J$10)+COS('Coords-Trans'!$T$4)*((-SIN(-banglerad)*K50+COS(-banglerad)*I50)*1000+'Coords-Trans'!$K$8-'Coords-Trans'!$K$10))</f>
        <v>157.5547706335783</v>
      </c>
      <c r="H50" s="271">
        <f t="shared" si="0"/>
        <v>-337.45721234512951</v>
      </c>
      <c r="I50" s="351">
        <f t="shared" si="17"/>
        <v>-0.14032630152787415</v>
      </c>
      <c r="J50" s="334">
        <f t="shared" si="18"/>
        <v>-0.33745721234512949</v>
      </c>
      <c r="K50" s="335">
        <f t="shared" si="19"/>
        <v>37.907088789888284</v>
      </c>
      <c r="L50" s="351">
        <f t="shared" si="1"/>
        <v>-0.13952726738094753</v>
      </c>
      <c r="M50" s="334">
        <f t="shared" si="2"/>
        <v>-0.35682522633063779</v>
      </c>
      <c r="N50" s="335">
        <f t="shared" si="3"/>
        <v>39.906994848091657</v>
      </c>
      <c r="O50" s="62">
        <v>2</v>
      </c>
      <c r="P50" s="62">
        <f t="shared" si="8"/>
        <v>39.910215660427717</v>
      </c>
      <c r="Q50" s="60">
        <v>4000</v>
      </c>
      <c r="R50" s="63">
        <v>-1600</v>
      </c>
      <c r="S50" s="154">
        <v>70</v>
      </c>
      <c r="T50" s="154">
        <v>70</v>
      </c>
      <c r="U50" s="154">
        <v>55</v>
      </c>
      <c r="V50" s="154">
        <v>55</v>
      </c>
      <c r="W50" s="60">
        <v>3</v>
      </c>
      <c r="X50" s="61">
        <v>3.5</v>
      </c>
      <c r="Y50" s="61">
        <v>2.5</v>
      </c>
      <c r="Z50" s="63">
        <v>3</v>
      </c>
      <c r="AA50" s="424" t="s">
        <v>31</v>
      </c>
      <c r="AB50" s="63"/>
    </row>
    <row r="51" spans="1:28" ht="16" thickBot="1" x14ac:dyDescent="0.25">
      <c r="A51" s="11" t="s">
        <v>43</v>
      </c>
      <c r="B51" s="11"/>
      <c r="C51" s="11"/>
      <c r="D51" s="449">
        <f t="shared" si="25"/>
        <v>-0.51901573011548841</v>
      </c>
      <c r="E51" s="460">
        <f t="shared" si="4"/>
        <v>-3.7228911584958523E-2</v>
      </c>
      <c r="F51" s="236">
        <f>(COS('Coords-Trans'!$T$4)*((COS(-banglerad)*K51+SIN(-banglerad)*I51)*1000+'Coords-Trans'!$J$8-'Coords-Trans'!$J$10)+SIN('Coords-Trans'!$T$4)*((-SIN(-banglerad)*K51+COS(-banglerad)*I51)*1000+'Coords-Trans'!$K$8-'Coords-Trans'!$K$10))</f>
        <v>39882.606529850018</v>
      </c>
      <c r="G51" s="200">
        <f>(-SIN('Coords-Trans'!$T$4)*((COS(-banglerad)*K51+SIN(-banglerad)*I51)*1000+'Coords-Trans'!$J$8-'Coords-Trans'!$J$10)+COS('Coords-Trans'!$T$4)*((-SIN(-banglerad)*K51+COS(-banglerad)*I51)*1000+'Coords-Trans'!$K$8-'Coords-Trans'!$K$10))</f>
        <v>175.80602556606755</v>
      </c>
      <c r="H51" s="270">
        <f t="shared" si="0"/>
        <v>-356.8252263306378</v>
      </c>
      <c r="I51" s="350">
        <f t="shared" si="17"/>
        <v>-0.13952726738094753</v>
      </c>
      <c r="J51" s="336">
        <f t="shared" si="18"/>
        <v>-0.35682522633063779</v>
      </c>
      <c r="K51" s="333">
        <f t="shared" si="19"/>
        <v>39.906994848091657</v>
      </c>
      <c r="L51" s="350">
        <f t="shared" si="1"/>
        <v>-0.1395259678468708</v>
      </c>
      <c r="M51" s="336">
        <f t="shared" si="2"/>
        <v>-0.35684334314958704</v>
      </c>
      <c r="N51" s="333">
        <f t="shared" si="3"/>
        <v>39.908994765613009</v>
      </c>
      <c r="O51" s="58">
        <v>2E-3</v>
      </c>
      <c r="P51" s="58">
        <f t="shared" si="8"/>
        <v>39.912215660427719</v>
      </c>
      <c r="Q51" s="56"/>
      <c r="R51" s="59"/>
      <c r="S51" s="155"/>
      <c r="T51" s="155"/>
      <c r="U51" s="155"/>
      <c r="V51" s="155"/>
      <c r="W51" s="56"/>
      <c r="X51" s="57"/>
      <c r="Y51" s="57"/>
      <c r="Z51" s="59"/>
      <c r="AA51" s="423"/>
      <c r="AB51" s="11"/>
    </row>
    <row r="52" spans="1:28" x14ac:dyDescent="0.2">
      <c r="A52" s="52">
        <v>2</v>
      </c>
      <c r="B52" s="53" t="s">
        <v>75</v>
      </c>
      <c r="C52" s="53" t="s">
        <v>260</v>
      </c>
      <c r="D52" s="448">
        <f t="shared" si="25"/>
        <v>-0.48317005805761626</v>
      </c>
      <c r="E52" s="459">
        <f t="shared" si="4"/>
        <v>-5.1567180408107371E-2</v>
      </c>
      <c r="F52" s="235">
        <f>(COS('Coords-Trans'!$T$4)*((COS(-banglerad)*K52+SIN(-banglerad)*I52)*1000+'Coords-Trans'!$J$8-'Coords-Trans'!$J$10)+SIN('Coords-Trans'!$T$4)*((-SIN(-banglerad)*K52+COS(-banglerad)*I52)*1000+'Coords-Trans'!$K$8-'Coords-Trans'!$K$10))</f>
        <v>39884.606359880214</v>
      </c>
      <c r="G52" s="197">
        <f>(-SIN('Coords-Trans'!$T$4)*((COS(-banglerad)*K52+SIN(-banglerad)*I52)*1000+'Coords-Trans'!$J$8-'Coords-Trans'!$J$10)+COS('Coords-Trans'!$T$4)*((-SIN(-banglerad)*K52+COS(-banglerad)*I52)*1000+'Coords-Trans'!$K$8-'Coords-Trans'!$K$10))</f>
        <v>175.82477740190006</v>
      </c>
      <c r="H52" s="269">
        <f t="shared" si="0"/>
        <v>-356.84334314958704</v>
      </c>
      <c r="I52" s="349">
        <f t="shared" si="17"/>
        <v>-0.1395259678468708</v>
      </c>
      <c r="J52" s="330">
        <f t="shared" si="18"/>
        <v>-0.35684334314958704</v>
      </c>
      <c r="K52" s="331">
        <f t="shared" si="19"/>
        <v>39.908994765613009</v>
      </c>
      <c r="L52" s="349">
        <f t="shared" si="1"/>
        <v>-0.13772593392170185</v>
      </c>
      <c r="M52" s="330">
        <f t="shared" si="2"/>
        <v>-0.37370895997149028</v>
      </c>
      <c r="N52" s="331">
        <f t="shared" si="3"/>
        <v>41.908922842089133</v>
      </c>
      <c r="O52" s="54">
        <v>2</v>
      </c>
      <c r="P52" s="54">
        <f t="shared" si="8"/>
        <v>41.912215811469416</v>
      </c>
      <c r="Q52" s="52">
        <v>4000</v>
      </c>
      <c r="R52" s="55">
        <v>-1600</v>
      </c>
      <c r="S52" s="152">
        <v>70</v>
      </c>
      <c r="T52" s="152">
        <v>70</v>
      </c>
      <c r="U52" s="152">
        <v>55</v>
      </c>
      <c r="V52" s="152">
        <v>55</v>
      </c>
      <c r="W52" s="52">
        <v>3</v>
      </c>
      <c r="X52" s="53">
        <v>3.5</v>
      </c>
      <c r="Y52" s="53">
        <v>2.5</v>
      </c>
      <c r="Z52" s="55">
        <v>3</v>
      </c>
      <c r="AA52" s="422" t="s">
        <v>31</v>
      </c>
      <c r="AB52" s="55"/>
    </row>
    <row r="53" spans="1:28" x14ac:dyDescent="0.2">
      <c r="A53" s="56" t="s">
        <v>43</v>
      </c>
      <c r="B53" s="57" t="s">
        <v>75</v>
      </c>
      <c r="C53" s="57"/>
      <c r="D53" s="449">
        <f t="shared" si="25"/>
        <v>-0.44734229093084199</v>
      </c>
      <c r="E53" s="460">
        <f t="shared" si="4"/>
        <v>-6.5898287258817079E-2</v>
      </c>
      <c r="F53" s="236">
        <f>(COS('Coords-Trans'!$T$4)*((COS(-banglerad)*K53+SIN(-banglerad)*I53)*1000+'Coords-Trans'!$J$8-'Coords-Trans'!$J$10)+SIN('Coords-Trans'!$T$4)*((-SIN(-banglerad)*K53+COS(-banglerad)*I53)*1000+'Coords-Trans'!$K$8-'Coords-Trans'!$K$10))</f>
        <v>41884.442577163354</v>
      </c>
      <c r="G53" s="198">
        <f>(-SIN('Coords-Trans'!$T$4)*((COS(-banglerad)*K53+SIN(-banglerad)*I53)*1000+'Coords-Trans'!$J$8-'Coords-Trans'!$J$10)+COS('Coords-Trans'!$T$4)*((-SIN(-banglerad)*K53+COS(-banglerad)*I53)*1000+'Coords-Trans'!$K$8-'Coords-Trans'!$K$10))</f>
        <v>195.07718614086116</v>
      </c>
      <c r="H53" s="270">
        <f t="shared" si="0"/>
        <v>-373.70895997149029</v>
      </c>
      <c r="I53" s="350">
        <f t="shared" si="17"/>
        <v>-0.13772593392170185</v>
      </c>
      <c r="J53" s="332">
        <f t="shared" si="18"/>
        <v>-0.37370895997149028</v>
      </c>
      <c r="K53" s="333">
        <f t="shared" si="19"/>
        <v>41.908922842089133</v>
      </c>
      <c r="L53" s="350">
        <f t="shared" si="1"/>
        <v>-0.13772478377987132</v>
      </c>
      <c r="M53" s="332">
        <f t="shared" si="2"/>
        <v>-0.3737167674880274</v>
      </c>
      <c r="N53" s="333">
        <f t="shared" si="3"/>
        <v>41.909922810948615</v>
      </c>
      <c r="O53" s="58">
        <v>1E-3</v>
      </c>
      <c r="P53" s="58">
        <f t="shared" si="8"/>
        <v>41.913215811469414</v>
      </c>
      <c r="Q53" s="56"/>
      <c r="R53" s="59"/>
      <c r="S53" s="153"/>
      <c r="T53" s="153"/>
      <c r="U53" s="153"/>
      <c r="V53" s="153"/>
      <c r="W53" s="56"/>
      <c r="X53" s="57"/>
      <c r="Y53" s="57"/>
      <c r="Z53" s="59"/>
      <c r="AA53" s="423"/>
      <c r="AB53" s="59"/>
    </row>
    <row r="54" spans="1:28" ht="16" thickBot="1" x14ac:dyDescent="0.25">
      <c r="A54" s="60">
        <v>2</v>
      </c>
      <c r="B54" s="61" t="s">
        <v>75</v>
      </c>
      <c r="C54" s="61" t="s">
        <v>261</v>
      </c>
      <c r="D54" s="450">
        <f t="shared" si="25"/>
        <v>-0.41151452380406772</v>
      </c>
      <c r="E54" s="461">
        <f t="shared" si="4"/>
        <v>-8.0229394109526786E-2</v>
      </c>
      <c r="F54" s="237">
        <f>(COS('Coords-Trans'!$T$4)*((COS(-banglerad)*K54+SIN(-banglerad)*I54)*1000+'Coords-Trans'!$J$8-'Coords-Trans'!$J$10)+SIN('Coords-Trans'!$T$4)*((-SIN(-banglerad)*K54+COS(-banglerad)*I54)*1000+'Coords-Trans'!$K$8-'Coords-Trans'!$K$10))</f>
        <v>41885.442497910335</v>
      </c>
      <c r="G54" s="199">
        <f>(-SIN('Coords-Trans'!$T$4)*((COS(-banglerad)*K54+SIN(-banglerad)*I54)*1000+'Coords-Trans'!$J$8-'Coords-Trans'!$J$10)+COS('Coords-Trans'!$T$4)*((-SIN(-banglerad)*K54+COS(-banglerad)*I54)*1000+'Coords-Trans'!$K$8-'Coords-Trans'!$K$10))</f>
        <v>195.08706250264731</v>
      </c>
      <c r="H54" s="271">
        <f t="shared" si="0"/>
        <v>-373.71676748802741</v>
      </c>
      <c r="I54" s="351">
        <f t="shared" si="17"/>
        <v>-0.13772478377987132</v>
      </c>
      <c r="J54" s="334">
        <f t="shared" si="18"/>
        <v>-0.3737167674880274</v>
      </c>
      <c r="K54" s="335">
        <f t="shared" si="19"/>
        <v>41.909922810948615</v>
      </c>
      <c r="L54" s="351">
        <f t="shared" si="1"/>
        <v>-0.1349242505268787</v>
      </c>
      <c r="M54" s="334">
        <f t="shared" si="2"/>
        <v>-0.38808121070883361</v>
      </c>
      <c r="N54" s="335">
        <f t="shared" si="3"/>
        <v>43.909869265279085</v>
      </c>
      <c r="O54" s="62">
        <v>2</v>
      </c>
      <c r="P54" s="62">
        <f t="shared" si="8"/>
        <v>43.91321596251111</v>
      </c>
      <c r="Q54" s="60">
        <v>4000</v>
      </c>
      <c r="R54" s="63">
        <v>-1600</v>
      </c>
      <c r="S54" s="154">
        <v>70</v>
      </c>
      <c r="T54" s="154">
        <v>70</v>
      </c>
      <c r="U54" s="154">
        <v>55</v>
      </c>
      <c r="V54" s="154">
        <v>55</v>
      </c>
      <c r="W54" s="60">
        <v>3</v>
      </c>
      <c r="X54" s="61">
        <v>3.5</v>
      </c>
      <c r="Y54" s="61">
        <v>2.5</v>
      </c>
      <c r="Z54" s="63">
        <v>3</v>
      </c>
      <c r="AA54" s="424" t="s">
        <v>31</v>
      </c>
      <c r="AB54" s="63"/>
    </row>
    <row r="55" spans="1:28" ht="16" thickBot="1" x14ac:dyDescent="0.25">
      <c r="A55" s="11" t="s">
        <v>43</v>
      </c>
      <c r="B55" s="11"/>
      <c r="C55" s="11"/>
      <c r="D55" s="449">
        <f t="shared" si="25"/>
        <v>-0.37566885174619558</v>
      </c>
      <c r="E55" s="460">
        <f t="shared" si="4"/>
        <v>-9.4567662932675628E-2</v>
      </c>
      <c r="F55" s="236">
        <f>(COS('Coords-Trans'!$T$4)*((COS(-banglerad)*K55+SIN(-banglerad)*I55)*1000+'Coords-Trans'!$J$8-'Coords-Trans'!$J$10)+SIN('Coords-Trans'!$T$4)*((-SIN(-banglerad)*K55+COS(-banglerad)*I55)*1000+'Coords-Trans'!$K$8-'Coords-Trans'!$K$10))</f>
        <v>43885.288361455154</v>
      </c>
      <c r="G55" s="200">
        <f>(-SIN('Coords-Trans'!$T$4)*((COS(-banglerad)*K55+SIN(-banglerad)*I55)*1000+'Coords-Trans'!$J$8-'Coords-Trans'!$J$10)+COS('Coords-Trans'!$T$4)*((-SIN(-banglerad)*K55+COS(-banglerad)*I55)*1000+'Coords-Trans'!$K$8-'Coords-Trans'!$K$10))</f>
        <v>215.34009284847343</v>
      </c>
      <c r="H55" s="270">
        <f t="shared" si="0"/>
        <v>-388.08121070883362</v>
      </c>
      <c r="I55" s="350">
        <f t="shared" si="17"/>
        <v>-0.1349242505268787</v>
      </c>
      <c r="J55" s="336">
        <f t="shared" si="18"/>
        <v>-0.38808121070883361</v>
      </c>
      <c r="K55" s="333">
        <f t="shared" si="19"/>
        <v>43.909869265279085</v>
      </c>
      <c r="L55" s="350">
        <f t="shared" si="1"/>
        <v>-0.1349209494942093</v>
      </c>
      <c r="M55" s="336">
        <f t="shared" si="2"/>
        <v>-0.38809432393159771</v>
      </c>
      <c r="N55" s="333">
        <f t="shared" si="3"/>
        <v>43.911869219565325</v>
      </c>
      <c r="O55" s="58">
        <v>2E-3</v>
      </c>
      <c r="P55" s="58">
        <f t="shared" si="8"/>
        <v>43.915215962511112</v>
      </c>
      <c r="Q55" s="56"/>
      <c r="R55" s="59"/>
      <c r="S55" s="155"/>
      <c r="T55" s="155"/>
      <c r="U55" s="155"/>
      <c r="V55" s="155"/>
      <c r="W55" s="56"/>
      <c r="X55" s="57"/>
      <c r="Y55" s="57"/>
      <c r="Z55" s="59"/>
      <c r="AA55" s="423"/>
      <c r="AB55" s="11"/>
    </row>
    <row r="56" spans="1:28" x14ac:dyDescent="0.2">
      <c r="A56" s="52">
        <v>2</v>
      </c>
      <c r="B56" s="53" t="s">
        <v>76</v>
      </c>
      <c r="C56" s="53" t="s">
        <v>262</v>
      </c>
      <c r="D56" s="448">
        <f t="shared" si="25"/>
        <v>-0.33982317968832343</v>
      </c>
      <c r="E56" s="459">
        <f t="shared" si="4"/>
        <v>-0.10890593175582447</v>
      </c>
      <c r="F56" s="235">
        <f>(COS('Coords-Trans'!$T$4)*((COS(-banglerad)*K56+SIN(-banglerad)*I56)*1000+'Coords-Trans'!$J$8-'Coords-Trans'!$J$10)+SIN('Coords-Trans'!$T$4)*((-SIN(-banglerad)*K56+COS(-banglerad)*I56)*1000+'Coords-Trans'!$K$8-'Coords-Trans'!$K$10))</f>
        <v>43887.288210782688</v>
      </c>
      <c r="G56" s="197">
        <f>(-SIN('Coords-Trans'!$T$4)*((COS(-banglerad)*K56+SIN(-banglerad)*I56)*1000+'Coords-Trans'!$J$8-'Coords-Trans'!$J$10)+COS('Coords-Trans'!$T$4)*((-SIN(-banglerad)*K56+COS(-banglerad)*I56)*1000+'Coords-Trans'!$K$8-'Coords-Trans'!$K$10))</f>
        <v>215.36084642753121</v>
      </c>
      <c r="H56" s="269">
        <f t="shared" si="0"/>
        <v>-388.09432393159773</v>
      </c>
      <c r="I56" s="349">
        <f t="shared" si="17"/>
        <v>-0.1349209494942093</v>
      </c>
      <c r="J56" s="330">
        <f t="shared" si="18"/>
        <v>-0.38809432393159771</v>
      </c>
      <c r="K56" s="331">
        <f t="shared" si="19"/>
        <v>43.911869219565325</v>
      </c>
      <c r="L56" s="349">
        <f t="shared" si="1"/>
        <v>-0.13111941761512974</v>
      </c>
      <c r="M56" s="330">
        <f t="shared" si="2"/>
        <v>-0.39995632110640517</v>
      </c>
      <c r="N56" s="331">
        <f t="shared" si="3"/>
        <v>45.911830429660853</v>
      </c>
      <c r="O56" s="54">
        <v>2</v>
      </c>
      <c r="P56" s="54">
        <f t="shared" si="8"/>
        <v>45.915216113552809</v>
      </c>
      <c r="Q56" s="52">
        <v>4000</v>
      </c>
      <c r="R56" s="55">
        <v>-1600</v>
      </c>
      <c r="S56" s="152">
        <v>70</v>
      </c>
      <c r="T56" s="152">
        <v>70</v>
      </c>
      <c r="U56" s="152">
        <v>55</v>
      </c>
      <c r="V56" s="152">
        <v>55</v>
      </c>
      <c r="W56" s="52">
        <v>3</v>
      </c>
      <c r="X56" s="53">
        <v>3.5</v>
      </c>
      <c r="Y56" s="53">
        <v>2.5</v>
      </c>
      <c r="Z56" s="55">
        <v>3</v>
      </c>
      <c r="AA56" s="422" t="s">
        <v>31</v>
      </c>
      <c r="AB56" s="55"/>
    </row>
    <row r="57" spans="1:28" x14ac:dyDescent="0.2">
      <c r="A57" s="56" t="s">
        <v>43</v>
      </c>
      <c r="B57" s="57" t="s">
        <v>76</v>
      </c>
      <c r="C57" s="57"/>
      <c r="D57" s="449">
        <f t="shared" si="25"/>
        <v>-0.30399541256154916</v>
      </c>
      <c r="E57" s="460">
        <f t="shared" si="4"/>
        <v>-0.12323703860653418</v>
      </c>
      <c r="F57" s="236">
        <f>(COS('Coords-Trans'!$T$4)*((COS(-banglerad)*K57+SIN(-banglerad)*I57)*1000+'Coords-Trans'!$J$8-'Coords-Trans'!$J$10)+SIN('Coords-Trans'!$T$4)*((-SIN(-banglerad)*K57+COS(-banglerad)*I57)*1000+'Coords-Trans'!$K$8-'Coords-Trans'!$K$10))</f>
        <v>45887.140094280665</v>
      </c>
      <c r="G57" s="198">
        <f>(-SIN('Coords-Trans'!$T$4)*((COS(-banglerad)*K57+SIN(-banglerad)*I57)*1000+'Coords-Trans'!$J$8-'Coords-Trans'!$J$10)+COS('Coords-Trans'!$T$4)*((-SIN(-banglerad)*K57+COS(-banglerad)*I57)*1000+'Coords-Trans'!$K$8-'Coords-Trans'!$K$10))</f>
        <v>236.614966051191</v>
      </c>
      <c r="H57" s="270">
        <f t="shared" si="0"/>
        <v>-399.95632110640514</v>
      </c>
      <c r="I57" s="350">
        <f t="shared" si="17"/>
        <v>-0.13111941761512974</v>
      </c>
      <c r="J57" s="332">
        <f t="shared" si="18"/>
        <v>-0.39995632110640517</v>
      </c>
      <c r="K57" s="333">
        <f t="shared" si="19"/>
        <v>45.911830429660853</v>
      </c>
      <c r="L57" s="350">
        <f t="shared" si="1"/>
        <v>-0.13111726672470411</v>
      </c>
      <c r="M57" s="332">
        <f t="shared" si="2"/>
        <v>-0.39996162680237207</v>
      </c>
      <c r="N57" s="333">
        <f t="shared" si="3"/>
        <v>45.912830413272417</v>
      </c>
      <c r="O57" s="58">
        <v>1E-3</v>
      </c>
      <c r="P57" s="58">
        <f t="shared" si="8"/>
        <v>45.916216113552807</v>
      </c>
      <c r="Q57" s="56"/>
      <c r="R57" s="59"/>
      <c r="S57" s="153"/>
      <c r="T57" s="153"/>
      <c r="U57" s="153"/>
      <c r="V57" s="153"/>
      <c r="W57" s="56"/>
      <c r="X57" s="57"/>
      <c r="Y57" s="57"/>
      <c r="Z57" s="59"/>
      <c r="AA57" s="423"/>
      <c r="AB57" s="59"/>
    </row>
    <row r="58" spans="1:28" ht="16" thickBot="1" x14ac:dyDescent="0.25">
      <c r="A58" s="60">
        <v>2</v>
      </c>
      <c r="B58" s="61" t="s">
        <v>76</v>
      </c>
      <c r="C58" s="61" t="s">
        <v>263</v>
      </c>
      <c r="D58" s="450">
        <f t="shared" si="25"/>
        <v>-0.26816764543477489</v>
      </c>
      <c r="E58" s="461">
        <f t="shared" si="4"/>
        <v>-0.13756814545724388</v>
      </c>
      <c r="F58" s="237">
        <f>(COS('Coords-Trans'!$T$4)*((COS(-banglerad)*K58+SIN(-banglerad)*I58)*1000+'Coords-Trans'!$J$8-'Coords-Trans'!$J$10)+SIN('Coords-Trans'!$T$4)*((-SIN(-banglerad)*K58+COS(-banglerad)*I58)*1000+'Coords-Trans'!$K$8-'Coords-Trans'!$K$10))</f>
        <v>45888.1400210461</v>
      </c>
      <c r="G58" s="199">
        <f>(-SIN('Coords-Trans'!$T$4)*((COS(-banglerad)*K58+SIN(-banglerad)*I58)*1000+'Coords-Trans'!$J$8-'Coords-Trans'!$J$10)+COS('Coords-Trans'!$T$4)*((-SIN(-banglerad)*K58+COS(-banglerad)*I58)*1000+'Coords-Trans'!$K$8-'Coords-Trans'!$K$10))</f>
        <v>236.62584325220814</v>
      </c>
      <c r="H58" s="271">
        <f t="shared" si="0"/>
        <v>-399.96162680237205</v>
      </c>
      <c r="I58" s="351">
        <f t="shared" si="17"/>
        <v>-0.13111726672470411</v>
      </c>
      <c r="J58" s="334">
        <f t="shared" si="18"/>
        <v>-0.39996162680237207</v>
      </c>
      <c r="K58" s="335">
        <f t="shared" si="19"/>
        <v>45.912830413272417</v>
      </c>
      <c r="L58" s="351">
        <f t="shared" si="1"/>
        <v>-0.1263152371703809</v>
      </c>
      <c r="M58" s="334">
        <f t="shared" si="2"/>
        <v>-0.40932240934603581</v>
      </c>
      <c r="N58" s="335">
        <f t="shared" si="3"/>
        <v>47.912802742272866</v>
      </c>
      <c r="O58" s="62">
        <v>2</v>
      </c>
      <c r="P58" s="62">
        <f t="shared" si="8"/>
        <v>47.916216264594503</v>
      </c>
      <c r="Q58" s="60">
        <v>4000</v>
      </c>
      <c r="R58" s="63">
        <v>-1600</v>
      </c>
      <c r="S58" s="154">
        <v>70</v>
      </c>
      <c r="T58" s="154">
        <v>70</v>
      </c>
      <c r="U58" s="154">
        <v>55</v>
      </c>
      <c r="V58" s="154">
        <v>55</v>
      </c>
      <c r="W58" s="60">
        <v>3</v>
      </c>
      <c r="X58" s="61">
        <v>3.5</v>
      </c>
      <c r="Y58" s="61">
        <v>2.5</v>
      </c>
      <c r="Z58" s="63">
        <v>3</v>
      </c>
      <c r="AA58" s="424" t="s">
        <v>31</v>
      </c>
      <c r="AB58" s="63"/>
    </row>
    <row r="59" spans="1:28" ht="16" thickBot="1" x14ac:dyDescent="0.25">
      <c r="A59" s="11" t="s">
        <v>43</v>
      </c>
      <c r="B59" s="11"/>
      <c r="C59" s="11"/>
      <c r="D59" s="449">
        <f t="shared" si="25"/>
        <v>-0.23232197337690275</v>
      </c>
      <c r="E59" s="460">
        <f t="shared" si="4"/>
        <v>-0.15190641428039273</v>
      </c>
      <c r="F59" s="236">
        <f>(COS('Coords-Trans'!$T$4)*((COS(-banglerad)*K59+SIN(-banglerad)*I59)*1000+'Coords-Trans'!$J$8-'Coords-Trans'!$J$10)+SIN('Coords-Trans'!$T$4)*((-SIN(-banglerad)*K59+COS(-banglerad)*I59)*1000+'Coords-Trans'!$K$8-'Coords-Trans'!$K$10))</f>
        <v>47887.994292147152</v>
      </c>
      <c r="G59" s="200">
        <f>(-SIN('Coords-Trans'!$T$4)*((COS(-banglerad)*K59+SIN(-banglerad)*I59)*1000+'Coords-Trans'!$J$8-'Coords-Trans'!$J$10)+COS('Coords-Trans'!$T$4)*((-SIN(-banglerad)*K59+COS(-banglerad)*I59)*1000+'Coords-Trans'!$K$8-'Coords-Trans'!$K$10))</f>
        <v>258.88051948474094</v>
      </c>
      <c r="H59" s="270">
        <f t="shared" si="0"/>
        <v>-409.32240934603578</v>
      </c>
      <c r="I59" s="350">
        <f t="shared" si="17"/>
        <v>-0.1263152371703809</v>
      </c>
      <c r="J59" s="336">
        <f t="shared" si="18"/>
        <v>-0.40932240934603581</v>
      </c>
      <c r="K59" s="333">
        <f t="shared" si="19"/>
        <v>47.912802742272866</v>
      </c>
      <c r="L59" s="350">
        <f t="shared" si="1"/>
        <v>-0.12630993464242482</v>
      </c>
      <c r="M59" s="336">
        <f t="shared" si="2"/>
        <v>-0.40933051889053423</v>
      </c>
      <c r="N59" s="333">
        <f t="shared" si="3"/>
        <v>47.914802718802463</v>
      </c>
      <c r="O59" s="58">
        <v>2E-3</v>
      </c>
      <c r="P59" s="58">
        <f t="shared" si="8"/>
        <v>47.918216264594506</v>
      </c>
      <c r="Q59" s="56"/>
      <c r="R59" s="59"/>
      <c r="S59" s="155"/>
      <c r="T59" s="155"/>
      <c r="U59" s="155"/>
      <c r="V59" s="155"/>
      <c r="W59" s="56"/>
      <c r="X59" s="57"/>
      <c r="Y59" s="57"/>
      <c r="Z59" s="59"/>
      <c r="AA59" s="423"/>
      <c r="AB59" s="11"/>
    </row>
    <row r="60" spans="1:28" x14ac:dyDescent="0.2">
      <c r="A60" s="52">
        <v>2</v>
      </c>
      <c r="B60" s="53" t="s">
        <v>77</v>
      </c>
      <c r="C60" s="53" t="s">
        <v>264</v>
      </c>
      <c r="D60" s="448">
        <f t="shared" si="25"/>
        <v>-0.1964763013190306</v>
      </c>
      <c r="E60" s="459">
        <f t="shared" si="4"/>
        <v>-0.16624468310354157</v>
      </c>
      <c r="F60" s="235">
        <f>(COS('Coords-Trans'!$T$4)*((COS(-banglerad)*K60+SIN(-banglerad)*I60)*1000+'Coords-Trans'!$J$8-'Coords-Trans'!$J$10)+SIN('Coords-Trans'!$T$4)*((-SIN(-banglerad)*K60+COS(-banglerad)*I60)*1000+'Coords-Trans'!$K$8-'Coords-Trans'!$K$10))</f>
        <v>47889.994146251061</v>
      </c>
      <c r="G60" s="197">
        <f>(-SIN('Coords-Trans'!$T$4)*((COS(-banglerad)*K60+SIN(-banglerad)*I60)*1000+'Coords-Trans'!$J$8-'Coords-Trans'!$J$10)+COS('Coords-Trans'!$T$4)*((-SIN(-banglerad)*K60+COS(-banglerad)*I60)*1000+'Coords-Trans'!$K$8-'Coords-Trans'!$K$10))</f>
        <v>258.90327467697352</v>
      </c>
      <c r="H60" s="269">
        <f t="shared" si="0"/>
        <v>-409.33051889053422</v>
      </c>
      <c r="I60" s="349">
        <f t="shared" si="17"/>
        <v>-0.12630993464242482</v>
      </c>
      <c r="J60" s="330">
        <f t="shared" si="18"/>
        <v>-0.40933051889053423</v>
      </c>
      <c r="K60" s="331">
        <f t="shared" si="19"/>
        <v>47.914802718802463</v>
      </c>
      <c r="L60" s="349">
        <f t="shared" si="1"/>
        <v>-0.12050690861667064</v>
      </c>
      <c r="M60" s="330">
        <f t="shared" si="2"/>
        <v>-0.41618882216955433</v>
      </c>
      <c r="N60" s="331">
        <f t="shared" si="3"/>
        <v>49.914782540940941</v>
      </c>
      <c r="O60" s="54">
        <v>2</v>
      </c>
      <c r="P60" s="54">
        <f t="shared" si="8"/>
        <v>49.918216415636202</v>
      </c>
      <c r="Q60" s="52">
        <v>4000</v>
      </c>
      <c r="R60" s="55">
        <v>-1600</v>
      </c>
      <c r="S60" s="152">
        <v>70</v>
      </c>
      <c r="T60" s="152">
        <v>70</v>
      </c>
      <c r="U60" s="152">
        <v>55</v>
      </c>
      <c r="V60" s="152">
        <v>55</v>
      </c>
      <c r="W60" s="52">
        <v>3</v>
      </c>
      <c r="X60" s="53">
        <v>3.5</v>
      </c>
      <c r="Y60" s="53">
        <v>2.5</v>
      </c>
      <c r="Z60" s="55">
        <v>3</v>
      </c>
      <c r="AA60" s="422" t="s">
        <v>31</v>
      </c>
      <c r="AB60" s="55"/>
    </row>
    <row r="61" spans="1:28" x14ac:dyDescent="0.2">
      <c r="A61" s="56" t="s">
        <v>43</v>
      </c>
      <c r="B61" s="57" t="s">
        <v>77</v>
      </c>
      <c r="C61" s="57"/>
      <c r="D61" s="449">
        <f t="shared" si="25"/>
        <v>-0.1606485341922563</v>
      </c>
      <c r="E61" s="460">
        <f t="shared" si="4"/>
        <v>-0.18057578995425128</v>
      </c>
      <c r="F61" s="236">
        <f>(COS('Coords-Trans'!$T$4)*((COS(-banglerad)*K61+SIN(-banglerad)*I61)*1000+'Coords-Trans'!$J$8-'Coords-Trans'!$J$10)+SIN('Coords-Trans'!$T$4)*((-SIN(-banglerad)*K61+COS(-banglerad)*I61)*1000+'Coords-Trans'!$K$8-'Coords-Trans'!$K$10))</f>
        <v>49889.847174973584</v>
      </c>
      <c r="G61" s="198">
        <f>(-SIN('Coords-Trans'!$T$4)*((COS(-banglerad)*K61+SIN(-banglerad)*I61)*1000+'Coords-Trans'!$J$8-'Coords-Trans'!$J$10)+COS('Coords-Trans'!$T$4)*((-SIN(-banglerad)*K61+COS(-banglerad)*I61)*1000+'Coords-Trans'!$K$8-'Coords-Trans'!$K$10))</f>
        <v>282.15897465519811</v>
      </c>
      <c r="H61" s="270">
        <f t="shared" si="0"/>
        <v>-416.18882216955433</v>
      </c>
      <c r="I61" s="350">
        <f t="shared" si="17"/>
        <v>-0.12050690861667064</v>
      </c>
      <c r="J61" s="332">
        <f t="shared" si="18"/>
        <v>-0.41618882216955433</v>
      </c>
      <c r="K61" s="333">
        <f t="shared" si="19"/>
        <v>49.914782540940941</v>
      </c>
      <c r="L61" s="350">
        <f t="shared" si="1"/>
        <v>-0.12050375697980401</v>
      </c>
      <c r="M61" s="332">
        <f t="shared" si="2"/>
        <v>-0.4161916260117407</v>
      </c>
      <c r="N61" s="333">
        <f t="shared" si="3"/>
        <v>49.915782532043764</v>
      </c>
      <c r="O61" s="58">
        <v>1E-3</v>
      </c>
      <c r="P61" s="58">
        <f t="shared" si="8"/>
        <v>49.9192164156362</v>
      </c>
      <c r="Q61" s="56"/>
      <c r="R61" s="59"/>
      <c r="S61" s="153"/>
      <c r="T61" s="153"/>
      <c r="U61" s="153"/>
      <c r="V61" s="153"/>
      <c r="W61" s="56"/>
      <c r="X61" s="57"/>
      <c r="Y61" s="57"/>
      <c r="Z61" s="59"/>
      <c r="AA61" s="423"/>
      <c r="AB61" s="59"/>
    </row>
    <row r="62" spans="1:28" ht="16" thickBot="1" x14ac:dyDescent="0.25">
      <c r="A62" s="60">
        <v>2</v>
      </c>
      <c r="B62" s="61" t="s">
        <v>77</v>
      </c>
      <c r="C62" s="61" t="s">
        <v>265</v>
      </c>
      <c r="D62" s="450">
        <f t="shared" si="25"/>
        <v>-0.12482076706548201</v>
      </c>
      <c r="E62" s="461">
        <f t="shared" si="4"/>
        <v>-0.19490689680496098</v>
      </c>
      <c r="F62" s="237">
        <f>(COS('Coords-Trans'!$T$4)*((COS(-banglerad)*K62+SIN(-banglerad)*I62)*1000+'Coords-Trans'!$J$8-'Coords-Trans'!$J$10)+SIN('Coords-Trans'!$T$4)*((-SIN(-banglerad)*K62+COS(-banglerad)*I62)*1000+'Coords-Trans'!$K$8-'Coords-Trans'!$K$10))</f>
        <v>49890.84710049694</v>
      </c>
      <c r="G62" s="199">
        <f>(-SIN('Coords-Trans'!$T$4)*((COS(-banglerad)*K62+SIN(-banglerad)*I62)*1000+'Coords-Trans'!$J$8-'Coords-Trans'!$J$10)+COS('Coords-Trans'!$T$4)*((-SIN(-banglerad)*K62+COS(-banglerad)*I62)*1000+'Coords-Trans'!$K$8-'Coords-Trans'!$K$10))</f>
        <v>282.17085262991895</v>
      </c>
      <c r="H62" s="271">
        <f t="shared" si="0"/>
        <v>-416.19162601174071</v>
      </c>
      <c r="I62" s="351">
        <f t="shared" si="17"/>
        <v>-0.12050375697980401</v>
      </c>
      <c r="J62" s="334">
        <f t="shared" si="18"/>
        <v>-0.4161916260117407</v>
      </c>
      <c r="K62" s="335">
        <f t="shared" si="19"/>
        <v>49.915782532043764</v>
      </c>
      <c r="L62" s="351">
        <f t="shared" si="1"/>
        <v>-0.11370023593338509</v>
      </c>
      <c r="M62" s="334">
        <f t="shared" si="2"/>
        <v>-0.42054868928561134</v>
      </c>
      <c r="N62" s="335">
        <f t="shared" si="3"/>
        <v>51.915766214057363</v>
      </c>
      <c r="O62" s="62">
        <v>2</v>
      </c>
      <c r="P62" s="62">
        <f t="shared" si="8"/>
        <v>51.919216566677896</v>
      </c>
      <c r="Q62" s="60">
        <v>4000</v>
      </c>
      <c r="R62" s="63">
        <v>-1600</v>
      </c>
      <c r="S62" s="154">
        <v>70</v>
      </c>
      <c r="T62" s="154">
        <v>70</v>
      </c>
      <c r="U62" s="154">
        <v>55</v>
      </c>
      <c r="V62" s="154">
        <v>55</v>
      </c>
      <c r="W62" s="60">
        <v>3</v>
      </c>
      <c r="X62" s="61">
        <v>3.5</v>
      </c>
      <c r="Y62" s="61">
        <v>2.5</v>
      </c>
      <c r="Z62" s="63">
        <v>3</v>
      </c>
      <c r="AA62" s="424" t="s">
        <v>31</v>
      </c>
      <c r="AB62" s="63"/>
    </row>
    <row r="63" spans="1:28" ht="16" thickBot="1" x14ac:dyDescent="0.25">
      <c r="A63" s="11" t="s">
        <v>43</v>
      </c>
      <c r="B63" s="11"/>
      <c r="C63" s="11"/>
      <c r="D63" s="449">
        <f t="shared" si="25"/>
        <v>-8.8975095007609875E-2</v>
      </c>
      <c r="E63" s="460">
        <f t="shared" si="4"/>
        <v>-0.20924516562810982</v>
      </c>
      <c r="F63" s="236">
        <f>(COS('Coords-Trans'!$T$4)*((COS(-banglerad)*K63+SIN(-banglerad)*I63)*1000+'Coords-Trans'!$J$8-'Coords-Trans'!$J$10)+SIN('Coords-Trans'!$T$4)*((-SIN(-banglerad)*K63+COS(-banglerad)*I63)*1000+'Coords-Trans'!$K$8-'Coords-Trans'!$K$10))</f>
        <v>51890.695258092295</v>
      </c>
      <c r="G63" s="200">
        <f>(-SIN('Coords-Trans'!$T$4)*((COS(-banglerad)*K63+SIN(-banglerad)*I63)*1000+'Coords-Trans'!$J$8-'Coords-Trans'!$J$10)+COS('Coords-Trans'!$T$4)*((-SIN(-banglerad)*K63+COS(-banglerad)*I63)*1000+'Coords-Trans'!$K$8-'Coords-Trans'!$K$10))</f>
        <v>306.4270432163612</v>
      </c>
      <c r="H63" s="270">
        <f t="shared" si="0"/>
        <v>-420.54868928561132</v>
      </c>
      <c r="I63" s="350">
        <f t="shared" si="17"/>
        <v>-0.11370023593338509</v>
      </c>
      <c r="J63" s="336">
        <f t="shared" si="18"/>
        <v>-0.42054868928561134</v>
      </c>
      <c r="K63" s="333">
        <f t="shared" si="19"/>
        <v>51.915766214057363</v>
      </c>
      <c r="L63" s="350">
        <f t="shared" si="1"/>
        <v>-0.11369293191545282</v>
      </c>
      <c r="M63" s="336">
        <f t="shared" si="2"/>
        <v>-0.42055179510108337</v>
      </c>
      <c r="N63" s="333">
        <f t="shared" si="3"/>
        <v>51.917766198308641</v>
      </c>
      <c r="O63" s="58">
        <v>2E-3</v>
      </c>
      <c r="P63" s="58">
        <f t="shared" si="8"/>
        <v>51.921216566677899</v>
      </c>
      <c r="Q63" s="56"/>
      <c r="R63" s="59"/>
      <c r="S63" s="155"/>
      <c r="T63" s="155"/>
      <c r="U63" s="155"/>
      <c r="V63" s="155"/>
      <c r="W63" s="56"/>
      <c r="X63" s="57"/>
      <c r="Y63" s="57"/>
      <c r="Z63" s="59"/>
      <c r="AA63" s="423"/>
      <c r="AB63" s="11"/>
    </row>
    <row r="64" spans="1:28" x14ac:dyDescent="0.2">
      <c r="A64" s="52">
        <v>2</v>
      </c>
      <c r="B64" s="53" t="s">
        <v>78</v>
      </c>
      <c r="C64" s="53" t="s">
        <v>266</v>
      </c>
      <c r="D64" s="451">
        <f t="shared" si="25"/>
        <v>-4.4463436298384042E-2</v>
      </c>
      <c r="E64" s="462">
        <f t="shared" si="4"/>
        <v>-0.22704982911180016</v>
      </c>
      <c r="F64" s="238">
        <f>(COS('Coords-Trans'!$T$4)*((COS(-banglerad)*K64+SIN(-banglerad)*I64)*1000+'Coords-Trans'!$J$8-'Coords-Trans'!$J$10)+SIN('Coords-Trans'!$T$4)*((-SIN(-banglerad)*K64+COS(-banglerad)*I64)*1000+'Coords-Trans'!$K$8-'Coords-Trans'!$K$10))</f>
        <v>51892.695102451529</v>
      </c>
      <c r="G64" s="201">
        <f>(-SIN('Coords-Trans'!$T$4)*((COS(-banglerad)*K64+SIN(-banglerad)*I64)*1000+'Coords-Trans'!$J$8-'Coords-Trans'!$J$10)+COS('Coords-Trans'!$T$4)*((-SIN(-banglerad)*K64+COS(-banglerad)*I64)*1000+'Coords-Trans'!$K$8-'Coords-Trans'!$K$10))</f>
        <v>306.4517998897536</v>
      </c>
      <c r="H64" s="272">
        <f t="shared" si="0"/>
        <v>-420.55179510108337</v>
      </c>
      <c r="I64" s="352">
        <f t="shared" si="17"/>
        <v>-0.11369293191545282</v>
      </c>
      <c r="J64" s="337">
        <f t="shared" si="18"/>
        <v>-0.42055179510108337</v>
      </c>
      <c r="K64" s="338">
        <f t="shared" si="19"/>
        <v>51.917766198308641</v>
      </c>
      <c r="L64" s="352">
        <f t="shared" si="1"/>
        <v>-0.1038494442415228</v>
      </c>
      <c r="M64" s="337">
        <f t="shared" si="2"/>
        <v>-0.42247946177423235</v>
      </c>
      <c r="N64" s="338">
        <f t="shared" si="3"/>
        <v>54.401745946597657</v>
      </c>
      <c r="O64" s="54">
        <v>2.484</v>
      </c>
      <c r="P64" s="54">
        <f t="shared" si="8"/>
        <v>54.405216856053343</v>
      </c>
      <c r="Q64" s="52">
        <v>4000</v>
      </c>
      <c r="R64" s="55">
        <v>-1600</v>
      </c>
      <c r="S64" s="152">
        <v>70</v>
      </c>
      <c r="T64" s="152">
        <v>70</v>
      </c>
      <c r="U64" s="152">
        <v>55</v>
      </c>
      <c r="V64" s="152">
        <v>55</v>
      </c>
      <c r="W64" s="52">
        <v>3</v>
      </c>
      <c r="X64" s="53">
        <v>3.5</v>
      </c>
      <c r="Y64" s="53">
        <v>2.5</v>
      </c>
      <c r="Z64" s="55">
        <v>3</v>
      </c>
      <c r="AA64" s="422" t="s">
        <v>31</v>
      </c>
      <c r="AB64" s="55" t="s">
        <v>189</v>
      </c>
    </row>
    <row r="65" spans="1:37" ht="16" thickBot="1" x14ac:dyDescent="0.25">
      <c r="A65" s="56" t="s">
        <v>43</v>
      </c>
      <c r="B65" s="57" t="s">
        <v>78</v>
      </c>
      <c r="C65" s="57"/>
      <c r="D65" s="454">
        <f t="shared" si="25"/>
        <v>3.0317479743947884E-5</v>
      </c>
      <c r="E65" s="465">
        <f>E64-O64/8000*180/PI()</f>
        <v>-0.24484016865061223</v>
      </c>
      <c r="F65" s="241">
        <f>(COS('Coords-Trans'!$T$4)*((COS(-banglerad)*K65+SIN(-banglerad)*I65)*1000+'Coords-Trans'!$J$8-'Coords-Trans'!$J$10)+SIN('Coords-Trans'!$T$4)*((-SIN(-banglerad)*K65+COS(-banglerad)*I65)*1000+'Coords-Trans'!$K$8-'Coords-Trans'!$K$10))</f>
        <v>54376.494368858461</v>
      </c>
      <c r="G65" s="205">
        <f>(-SIN('Coords-Trans'!$T$4)*((COS(-banglerad)*K65+SIN(-banglerad)*I65)*1000+'Coords-Trans'!$J$8-'Coords-Trans'!$J$10)+COS('Coords-Trans'!$T$4)*((-SIN(-banglerad)*K65+COS(-banglerad)*I65)*1000+'Coords-Trans'!$K$8-'Coords-Trans'!$K$10))</f>
        <v>337.97145020451353</v>
      </c>
      <c r="H65" s="275">
        <f t="shared" si="0"/>
        <v>-422.47946177423233</v>
      </c>
      <c r="I65" s="355">
        <f t="shared" si="17"/>
        <v>-0.1038494442415228</v>
      </c>
      <c r="J65" s="344">
        <f t="shared" si="18"/>
        <v>-0.42247946177423235</v>
      </c>
      <c r="K65" s="343">
        <f t="shared" si="19"/>
        <v>54.401745946597657</v>
      </c>
      <c r="L65" s="355">
        <f t="shared" si="1"/>
        <v>-0.10384517098744425</v>
      </c>
      <c r="M65" s="344">
        <f t="shared" si="2"/>
        <v>-0.4224794612450925</v>
      </c>
      <c r="N65" s="343">
        <f t="shared" si="3"/>
        <v>54.402745937467266</v>
      </c>
      <c r="O65" s="58">
        <v>1E-3</v>
      </c>
      <c r="P65" s="58">
        <f t="shared" si="8"/>
        <v>54.406216856053341</v>
      </c>
      <c r="Q65" s="56"/>
      <c r="R65" s="59"/>
      <c r="S65" s="153"/>
      <c r="T65" s="153"/>
      <c r="U65" s="153"/>
      <c r="V65" s="153"/>
      <c r="W65" s="56"/>
      <c r="X65" s="57"/>
      <c r="Y65" s="57"/>
      <c r="Z65" s="59"/>
      <c r="AA65" s="423"/>
      <c r="AB65" s="59"/>
    </row>
    <row r="66" spans="1:37" ht="16" thickBot="1" x14ac:dyDescent="0.25">
      <c r="A66" s="75">
        <v>3</v>
      </c>
      <c r="B66" s="76" t="s">
        <v>78</v>
      </c>
      <c r="C66" s="76" t="s">
        <v>205</v>
      </c>
      <c r="D66" s="356">
        <v>0</v>
      </c>
      <c r="E66" s="182">
        <f>$E$65</f>
        <v>-0.24484016865061223</v>
      </c>
      <c r="F66" s="242">
        <f>(COS('Coords-Trans'!$T$4)*((COS(-banglerad)*K66+SIN(-banglerad)*I66)*1000+'Coords-Trans'!$J$8-'Coords-Trans'!$J$10)+SIN('Coords-Trans'!$T$4)*((-SIN(-banglerad)*K66+COS(-banglerad)*I66)*1000+'Coords-Trans'!$K$8-'Coords-Trans'!$K$10))</f>
        <v>54377.494284360771</v>
      </c>
      <c r="G66" s="206">
        <f>(-SIN('Coords-Trans'!$T$4)*((COS(-banglerad)*K66+SIN(-banglerad)*I66)*1000+'Coords-Trans'!$J$8-'Coords-Trans'!$J$10)+COS('Coords-Trans'!$T$4)*((-SIN(-banglerad)*K66+COS(-banglerad)*I66)*1000+'Coords-Trans'!$K$8-'Coords-Trans'!$K$10))</f>
        <v>337.98444975171151</v>
      </c>
      <c r="H66" s="276">
        <f t="shared" si="0"/>
        <v>-422.47946124509252</v>
      </c>
      <c r="I66" s="356">
        <f t="shared" ref="I66:I129" si="26">L65</f>
        <v>-0.10384517098744425</v>
      </c>
      <c r="J66" s="182">
        <f t="shared" ref="J66:J129" si="27">M65</f>
        <v>-0.4224794612450925</v>
      </c>
      <c r="K66" s="299">
        <f t="shared" ref="K66:K129" si="28">N65</f>
        <v>54.402745937467266</v>
      </c>
      <c r="L66" s="356">
        <f t="shared" ref="L66:L86" si="29">I66-SIN(E66/180*PI())*O66</f>
        <v>-9.5298662830346076E-2</v>
      </c>
      <c r="M66" s="393">
        <f t="shared" ref="M66:M86" si="30">J66+SIN(D66/180*PI())*O66</f>
        <v>-0.4224794612450925</v>
      </c>
      <c r="N66" s="299">
        <f t="shared" ref="N66:N86" si="31">K66+O66*COS(E66*PI()/180)*COS(D66*PI()/180)</f>
        <v>56.402727676683483</v>
      </c>
      <c r="O66" s="78">
        <v>2</v>
      </c>
      <c r="P66" s="468">
        <f>P65+O66</f>
        <v>56.406216856053341</v>
      </c>
      <c r="Q66" s="75" t="s">
        <v>33</v>
      </c>
      <c r="R66" s="79" t="s">
        <v>33</v>
      </c>
      <c r="S66" s="158">
        <f>1000*SQRT((1-(K66-$N$64-$AF$70)^2/$AD$70/$AD$70)*$AE$70*$AE$70)+$AG$70</f>
        <v>70.008258823648944</v>
      </c>
      <c r="T66" s="158">
        <f>1000*SQRT((1-(N66-$N$64-$AF$70)^2/$AD$70/$AD$70)*$AE$70*$AE$70)+$AG$70</f>
        <v>84.115114162594452</v>
      </c>
      <c r="U66" s="158">
        <f>1000*SQRT((1-(K66-$N$64-$AF$72)^2/$AD$72/$AD$72)*$AE$72*$AE$72)+$AG$72</f>
        <v>55.010637820386584</v>
      </c>
      <c r="V66" s="158">
        <f>1000*SQRT((1-(N66-$N$64-$AF$72)^2/$AD$72/$AD$72)*$AE$72*$AE$72)+$AG$72</f>
        <v>68.376649420781291</v>
      </c>
      <c r="W66" s="75">
        <v>2</v>
      </c>
      <c r="X66" s="76">
        <v>2</v>
      </c>
      <c r="Y66" s="76">
        <v>2</v>
      </c>
      <c r="Z66" s="79">
        <v>2</v>
      </c>
      <c r="AA66" s="426" t="s">
        <v>31</v>
      </c>
      <c r="AB66" s="79" t="s">
        <v>83</v>
      </c>
      <c r="AC66" s="12"/>
      <c r="AD66" s="12" t="s">
        <v>38</v>
      </c>
      <c r="AE66" s="12"/>
      <c r="AF66" s="12"/>
      <c r="AG66" s="13"/>
      <c r="AH66" s="23"/>
      <c r="AI66" s="24" t="s">
        <v>44</v>
      </c>
      <c r="AJ66" s="24"/>
      <c r="AK66" s="25"/>
    </row>
    <row r="67" spans="1:37" ht="16" thickBot="1" x14ac:dyDescent="0.25">
      <c r="A67" s="70" t="s">
        <v>43</v>
      </c>
      <c r="B67" s="71"/>
      <c r="C67" s="71"/>
      <c r="D67" s="357">
        <v>0</v>
      </c>
      <c r="E67" s="183">
        <f t="shared" ref="E67:E130" si="32">$E$65</f>
        <v>-0.24484016865061223</v>
      </c>
      <c r="F67" s="243">
        <f>(COS('Coords-Trans'!$T$4)*((COS(-banglerad)*K67+SIN(-banglerad)*I67)*1000+'Coords-Trans'!$J$8-'Coords-Trans'!$J$10)+SIN('Coords-Trans'!$T$4)*((-SIN(-banglerad)*K67+COS(-banglerad)*I67)*1000+'Coords-Trans'!$K$8-'Coords-Trans'!$K$10))</f>
        <v>56377.32528899383</v>
      </c>
      <c r="G67" s="207">
        <f>(-SIN('Coords-Trans'!$T$4)*((COS(-banglerad)*K67+SIN(-banglerad)*I67)*1000+'Coords-Trans'!$J$8-'Coords-Trans'!$J$10)+COS('Coords-Trans'!$T$4)*((-SIN(-banglerad)*K67+COS(-banglerad)*I67)*1000+'Coords-Trans'!$K$8-'Coords-Trans'!$K$10))</f>
        <v>363.98354412733534</v>
      </c>
      <c r="H67" s="277">
        <f t="shared" si="0"/>
        <v>-422.47946124509252</v>
      </c>
      <c r="I67" s="357">
        <f t="shared" si="26"/>
        <v>-9.5298662830346076E-2</v>
      </c>
      <c r="J67" s="183">
        <f t="shared" si="27"/>
        <v>-0.4224794612450925</v>
      </c>
      <c r="K67" s="300">
        <f t="shared" si="28"/>
        <v>56.402727676683483</v>
      </c>
      <c r="L67" s="357">
        <f t="shared" si="29"/>
        <v>-9.5290116322188978E-2</v>
      </c>
      <c r="M67" s="183">
        <f t="shared" si="30"/>
        <v>-0.4224794612450925</v>
      </c>
      <c r="N67" s="300">
        <f t="shared" si="31"/>
        <v>56.404727658422701</v>
      </c>
      <c r="O67" s="73">
        <v>2E-3</v>
      </c>
      <c r="P67" s="469">
        <f t="shared" ref="P67:P130" si="33">P66+O67</f>
        <v>56.408216856053343</v>
      </c>
      <c r="Q67" s="70"/>
      <c r="R67" s="74"/>
      <c r="S67" s="157"/>
      <c r="T67" s="157"/>
      <c r="U67" s="157"/>
      <c r="V67" s="157"/>
      <c r="W67" s="70"/>
      <c r="X67" s="71"/>
      <c r="Y67" s="71"/>
      <c r="Z67" s="74"/>
      <c r="AA67" s="427"/>
      <c r="AB67" s="74" t="s">
        <v>84</v>
      </c>
      <c r="AC67" s="15"/>
      <c r="AD67" s="15"/>
      <c r="AE67" s="15"/>
      <c r="AF67" s="15"/>
      <c r="AG67" s="16"/>
      <c r="AH67" s="26"/>
      <c r="AI67" s="32"/>
      <c r="AJ67" s="32"/>
      <c r="AK67" s="28"/>
    </row>
    <row r="68" spans="1:37" x14ac:dyDescent="0.2">
      <c r="A68" s="80">
        <v>3</v>
      </c>
      <c r="B68" s="81" t="s">
        <v>79</v>
      </c>
      <c r="C68" s="81" t="s">
        <v>206</v>
      </c>
      <c r="D68" s="358">
        <v>0</v>
      </c>
      <c r="E68" s="184">
        <f t="shared" si="32"/>
        <v>-0.24484016865061223</v>
      </c>
      <c r="F68" s="244">
        <f>(COS('Coords-Trans'!$T$4)*((COS(-banglerad)*K68+SIN(-banglerad)*I68)*1000+'Coords-Trans'!$J$8-'Coords-Trans'!$J$10)+SIN('Coords-Trans'!$T$4)*((-SIN(-banglerad)*K68+COS(-banglerad)*I68)*1000+'Coords-Trans'!$K$8-'Coords-Trans'!$K$10))</f>
        <v>56379.325119998466</v>
      </c>
      <c r="G68" s="208">
        <f>(-SIN('Coords-Trans'!$T$4)*((COS(-banglerad)*K68+SIN(-banglerad)*I68)*1000+'Coords-Trans'!$J$8-'Coords-Trans'!$J$10)+COS('Coords-Trans'!$T$4)*((-SIN(-banglerad)*K68+COS(-banglerad)*I68)*1000+'Coords-Trans'!$K$8-'Coords-Trans'!$K$10))</f>
        <v>364.00954322169855</v>
      </c>
      <c r="H68" s="278">
        <f t="shared" si="0"/>
        <v>-422.47946124509252</v>
      </c>
      <c r="I68" s="358">
        <f t="shared" si="26"/>
        <v>-9.5290116322188978E-2</v>
      </c>
      <c r="J68" s="184">
        <f t="shared" si="27"/>
        <v>-0.4224794612450925</v>
      </c>
      <c r="K68" s="301">
        <f t="shared" si="28"/>
        <v>56.404727658422701</v>
      </c>
      <c r="L68" s="358">
        <f t="shared" si="29"/>
        <v>-8.6743608165090802E-2</v>
      </c>
      <c r="M68" s="184">
        <f t="shared" si="30"/>
        <v>-0.4224794612450925</v>
      </c>
      <c r="N68" s="301">
        <f t="shared" si="31"/>
        <v>58.404709397638918</v>
      </c>
      <c r="O68" s="83">
        <v>2</v>
      </c>
      <c r="P68" s="470">
        <f t="shared" si="33"/>
        <v>58.408216856053343</v>
      </c>
      <c r="Q68" s="80" t="s">
        <v>33</v>
      </c>
      <c r="R68" s="84" t="s">
        <v>33</v>
      </c>
      <c r="S68" s="159">
        <f>1000*SQRT((1-(K68-$N$64-$AF$70)^2/$AD$70/$AD$70)*$AE$70*$AE$70)+$AG$70</f>
        <v>84.127256321727401</v>
      </c>
      <c r="T68" s="159">
        <f>1000*SQRT((1-(N68-$N$64-$AF$70)^2/$AD$70/$AD$70)*$AE$70*$AE$70)+$AG$70</f>
        <v>94.809548041366384</v>
      </c>
      <c r="U68" s="159">
        <f>1000*SQRT((1-(K68-$N$64-$AF$72)^2/$AD$72/$AD$72)*$AE$72*$AE$72)+$AG$72</f>
        <v>68.388326271551335</v>
      </c>
      <c r="V68" s="159">
        <f>1000*SQRT((1-(N68-$N$64-$AF$72)^2/$AD$72/$AD$72)*$AE$72*$AE$72)+$AG$72</f>
        <v>78.877979696922665</v>
      </c>
      <c r="W68" s="80">
        <v>2</v>
      </c>
      <c r="X68" s="81">
        <v>2</v>
      </c>
      <c r="Y68" s="81">
        <v>2</v>
      </c>
      <c r="Z68" s="84">
        <v>2</v>
      </c>
      <c r="AA68" s="428" t="s">
        <v>31</v>
      </c>
      <c r="AB68" s="84"/>
      <c r="AC68" s="15"/>
      <c r="AD68" s="15" t="s">
        <v>40</v>
      </c>
      <c r="AE68" s="15" t="s">
        <v>35</v>
      </c>
      <c r="AF68" s="15" t="s">
        <v>36</v>
      </c>
      <c r="AG68" s="16" t="s">
        <v>37</v>
      </c>
      <c r="AH68" s="26"/>
      <c r="AI68" s="22" t="s">
        <v>34</v>
      </c>
      <c r="AJ68" s="22" t="s">
        <v>35</v>
      </c>
      <c r="AK68" s="27" t="s">
        <v>45</v>
      </c>
    </row>
    <row r="69" spans="1:37" x14ac:dyDescent="0.2">
      <c r="A69" s="70" t="s">
        <v>43</v>
      </c>
      <c r="B69" s="71" t="s">
        <v>79</v>
      </c>
      <c r="C69" s="71"/>
      <c r="D69" s="357">
        <v>0</v>
      </c>
      <c r="E69" s="183">
        <f t="shared" si="32"/>
        <v>-0.24484016865061223</v>
      </c>
      <c r="F69" s="243">
        <f>(COS('Coords-Trans'!$T$4)*((COS(-banglerad)*K69+SIN(-banglerad)*I69)*1000+'Coords-Trans'!$J$8-'Coords-Trans'!$J$10)+SIN('Coords-Trans'!$T$4)*((-SIN(-banglerad)*K69+COS(-banglerad)*I69)*1000+'Coords-Trans'!$K$8-'Coords-Trans'!$K$10))</f>
        <v>58379.156124631525</v>
      </c>
      <c r="G69" s="207">
        <f>(-SIN('Coords-Trans'!$T$4)*((COS(-banglerad)*K69+SIN(-banglerad)*I69)*1000+'Coords-Trans'!$J$8-'Coords-Trans'!$J$10)+COS('Coords-Trans'!$T$4)*((-SIN(-banglerad)*K69+COS(-banglerad)*I69)*1000+'Coords-Trans'!$K$8-'Coords-Trans'!$K$10))</f>
        <v>390.00863759734057</v>
      </c>
      <c r="H69" s="277">
        <f t="shared" ref="H69:H132" si="34">(J69*1000)</f>
        <v>-422.47946124509252</v>
      </c>
      <c r="I69" s="357">
        <f t="shared" si="26"/>
        <v>-8.6743608165090802E-2</v>
      </c>
      <c r="J69" s="183">
        <f t="shared" si="27"/>
        <v>-0.4224794612450925</v>
      </c>
      <c r="K69" s="300">
        <f t="shared" si="28"/>
        <v>58.404709397638918</v>
      </c>
      <c r="L69" s="357">
        <f t="shared" si="29"/>
        <v>-8.6739334911012253E-2</v>
      </c>
      <c r="M69" s="183">
        <f t="shared" si="30"/>
        <v>-0.4224794612450925</v>
      </c>
      <c r="N69" s="300">
        <f t="shared" si="31"/>
        <v>58.405709388508527</v>
      </c>
      <c r="O69" s="73">
        <v>1E-3</v>
      </c>
      <c r="P69" s="469">
        <f t="shared" si="33"/>
        <v>58.409216856053341</v>
      </c>
      <c r="Q69" s="70"/>
      <c r="R69" s="74"/>
      <c r="S69" s="157"/>
      <c r="T69" s="157"/>
      <c r="U69" s="157"/>
      <c r="V69" s="157"/>
      <c r="W69" s="70"/>
      <c r="X69" s="71"/>
      <c r="Y69" s="71"/>
      <c r="Z69" s="74"/>
      <c r="AA69" s="427"/>
      <c r="AB69" s="74"/>
      <c r="AC69" s="15"/>
      <c r="AD69" s="15"/>
      <c r="AE69" s="15"/>
      <c r="AF69" s="15"/>
      <c r="AG69" s="16"/>
      <c r="AH69" s="26"/>
      <c r="AI69" s="22"/>
      <c r="AJ69" s="22"/>
      <c r="AK69" s="27"/>
    </row>
    <row r="70" spans="1:37" ht="16" thickBot="1" x14ac:dyDescent="0.25">
      <c r="A70" s="75">
        <v>3</v>
      </c>
      <c r="B70" s="76" t="s">
        <v>79</v>
      </c>
      <c r="C70" s="76" t="s">
        <v>207</v>
      </c>
      <c r="D70" s="356">
        <v>0</v>
      </c>
      <c r="E70" s="182">
        <f t="shared" si="32"/>
        <v>-0.24484016865061223</v>
      </c>
      <c r="F70" s="242">
        <f>(COS('Coords-Trans'!$T$4)*((COS(-banglerad)*K70+SIN(-banglerad)*I70)*1000+'Coords-Trans'!$J$8-'Coords-Trans'!$J$10)+SIN('Coords-Trans'!$T$4)*((-SIN(-banglerad)*K70+COS(-banglerad)*I70)*1000+'Coords-Trans'!$K$8-'Coords-Trans'!$K$10))</f>
        <v>58380.156040133828</v>
      </c>
      <c r="G70" s="206">
        <f>(-SIN('Coords-Trans'!$T$4)*((COS(-banglerad)*K70+SIN(-banglerad)*I70)*1000+'Coords-Trans'!$J$8-'Coords-Trans'!$J$10)+COS('Coords-Trans'!$T$4)*((-SIN(-banglerad)*K70+COS(-banglerad)*I70)*1000+'Coords-Trans'!$K$8-'Coords-Trans'!$K$10))</f>
        <v>390.02163714452035</v>
      </c>
      <c r="H70" s="276">
        <f t="shared" si="34"/>
        <v>-422.47946124509252</v>
      </c>
      <c r="I70" s="356">
        <f t="shared" si="26"/>
        <v>-8.6739334911012253E-2</v>
      </c>
      <c r="J70" s="182">
        <f t="shared" si="27"/>
        <v>-0.4224794612450925</v>
      </c>
      <c r="K70" s="299">
        <f t="shared" si="28"/>
        <v>58.405709388508527</v>
      </c>
      <c r="L70" s="356">
        <f t="shared" si="29"/>
        <v>-7.8192826753914077E-2</v>
      </c>
      <c r="M70" s="182">
        <f t="shared" si="30"/>
        <v>-0.4224794612450925</v>
      </c>
      <c r="N70" s="299">
        <f t="shared" si="31"/>
        <v>60.405691127724744</v>
      </c>
      <c r="O70" s="78">
        <v>2</v>
      </c>
      <c r="P70" s="468">
        <f t="shared" si="33"/>
        <v>60.409216856053341</v>
      </c>
      <c r="Q70" s="75" t="s">
        <v>33</v>
      </c>
      <c r="R70" s="79" t="s">
        <v>33</v>
      </c>
      <c r="S70" s="158">
        <f>1000*SQRT((1-(K70-$N$64-$AF$70)^2/$AD$70/$AD$70)*$AE$70*$AE$70)+$AG$70</f>
        <v>94.814241941513714</v>
      </c>
      <c r="T70" s="158">
        <f>1000*SQRT((1-(N70-$N$64-$AF$70)^2/$AD$70/$AD$70)*$AE$70*$AE$70)+$AG$70</f>
        <v>103.14352075773921</v>
      </c>
      <c r="U70" s="158">
        <f>1000*SQRT((1-(K70-$N$64-$AF$72)^2/$AD$72/$AD$72)*$AE$72*$AE$72)+$AG$72</f>
        <v>78.882710238131466</v>
      </c>
      <c r="V70" s="158">
        <f>1000*SQRT((1-(N70-$N$64-$AF$72)^2/$AD$72/$AD$72)*$AE$72*$AE$72)+$AG$72</f>
        <v>87.537896040147317</v>
      </c>
      <c r="W70" s="75">
        <v>2</v>
      </c>
      <c r="X70" s="76">
        <v>2</v>
      </c>
      <c r="Y70" s="76">
        <v>2</v>
      </c>
      <c r="Z70" s="79">
        <v>2</v>
      </c>
      <c r="AA70" s="426" t="s">
        <v>31</v>
      </c>
      <c r="AB70" s="79"/>
      <c r="AC70" s="15" t="s">
        <v>39</v>
      </c>
      <c r="AD70" s="15">
        <v>21.4</v>
      </c>
      <c r="AE70" s="15">
        <v>0.12257999999999999</v>
      </c>
      <c r="AF70" s="15">
        <v>17.567499999999999</v>
      </c>
      <c r="AG70" s="16">
        <v>0</v>
      </c>
      <c r="AH70" s="26" t="s">
        <v>39</v>
      </c>
      <c r="AI70" s="22">
        <v>10.7</v>
      </c>
      <c r="AJ70" s="22">
        <v>6.1289999999999997E-2</v>
      </c>
      <c r="AK70" s="28">
        <f>0.07/2</f>
        <v>3.5000000000000003E-2</v>
      </c>
    </row>
    <row r="71" spans="1:37" ht="16" thickBot="1" x14ac:dyDescent="0.25">
      <c r="A71" s="70" t="s">
        <v>43</v>
      </c>
      <c r="B71" s="71"/>
      <c r="C71" s="71"/>
      <c r="D71" s="357">
        <v>0</v>
      </c>
      <c r="E71" s="183">
        <f t="shared" si="32"/>
        <v>-0.24484016865061223</v>
      </c>
      <c r="F71" s="243">
        <f>(COS('Coords-Trans'!$T$4)*((COS(-banglerad)*K71+SIN(-banglerad)*I71)*1000+'Coords-Trans'!$J$8-'Coords-Trans'!$J$10)+SIN('Coords-Trans'!$T$4)*((-SIN(-banglerad)*K71+COS(-banglerad)*I71)*1000+'Coords-Trans'!$K$8-'Coords-Trans'!$K$10))</f>
        <v>60379.987044766895</v>
      </c>
      <c r="G71" s="207">
        <f>(-SIN('Coords-Trans'!$T$4)*((COS(-banglerad)*K71+SIN(-banglerad)*I71)*1000+'Coords-Trans'!$J$8-'Coords-Trans'!$J$10)+COS('Coords-Trans'!$T$4)*((-SIN(-banglerad)*K71+COS(-banglerad)*I71)*1000+'Coords-Trans'!$K$8-'Coords-Trans'!$K$10))</f>
        <v>416.02073152014782</v>
      </c>
      <c r="H71" s="277">
        <f t="shared" si="34"/>
        <v>-422.47946124509252</v>
      </c>
      <c r="I71" s="357">
        <f t="shared" si="26"/>
        <v>-7.8192826753914077E-2</v>
      </c>
      <c r="J71" s="183">
        <f t="shared" si="27"/>
        <v>-0.4224794612450925</v>
      </c>
      <c r="K71" s="300">
        <f t="shared" si="28"/>
        <v>60.405691127724744</v>
      </c>
      <c r="L71" s="357">
        <f t="shared" si="29"/>
        <v>-7.8184280245756979E-2</v>
      </c>
      <c r="M71" s="183">
        <f t="shared" si="30"/>
        <v>-0.4224794612450925</v>
      </c>
      <c r="N71" s="300">
        <f t="shared" si="31"/>
        <v>60.407691109463961</v>
      </c>
      <c r="O71" s="73">
        <v>2E-3</v>
      </c>
      <c r="P71" s="469">
        <f t="shared" si="33"/>
        <v>60.411216856053343</v>
      </c>
      <c r="Q71" s="70"/>
      <c r="R71" s="74"/>
      <c r="S71" s="157"/>
      <c r="T71" s="157"/>
      <c r="U71" s="157"/>
      <c r="V71" s="157"/>
      <c r="W71" s="70"/>
      <c r="X71" s="71"/>
      <c r="Y71" s="71"/>
      <c r="Z71" s="74"/>
      <c r="AA71" s="427"/>
      <c r="AB71" s="74"/>
      <c r="AC71" s="14"/>
      <c r="AD71" s="15"/>
      <c r="AE71" s="15"/>
      <c r="AF71" s="15"/>
      <c r="AG71" s="16"/>
      <c r="AH71" s="26"/>
      <c r="AI71" s="22"/>
      <c r="AJ71" s="22"/>
      <c r="AK71" s="28"/>
    </row>
    <row r="72" spans="1:37" x14ac:dyDescent="0.2">
      <c r="A72" s="80">
        <v>3</v>
      </c>
      <c r="B72" s="81" t="s">
        <v>80</v>
      </c>
      <c r="C72" s="81" t="s">
        <v>208</v>
      </c>
      <c r="D72" s="359">
        <v>0</v>
      </c>
      <c r="E72" s="82">
        <f t="shared" si="32"/>
        <v>-0.24484016865061223</v>
      </c>
      <c r="F72" s="245">
        <f>(COS('Coords-Trans'!$T$4)*((COS(-banglerad)*K72+SIN(-banglerad)*I72)*1000+'Coords-Trans'!$J$8-'Coords-Trans'!$J$10)+SIN('Coords-Trans'!$T$4)*((-SIN(-banglerad)*K72+COS(-banglerad)*I72)*1000+'Coords-Trans'!$K$8-'Coords-Trans'!$K$10))</f>
        <v>60381.986875771523</v>
      </c>
      <c r="G72" s="209">
        <f>(-SIN('Coords-Trans'!$T$4)*((COS(-banglerad)*K72+SIN(-banglerad)*I72)*1000+'Coords-Trans'!$J$8-'Coords-Trans'!$J$10)+COS('Coords-Trans'!$T$4)*((-SIN(-banglerad)*K72+COS(-banglerad)*I72)*1000+'Coords-Trans'!$K$8-'Coords-Trans'!$K$10))</f>
        <v>416.04673061453286</v>
      </c>
      <c r="H72" s="279">
        <f t="shared" si="34"/>
        <v>-422.47946124509252</v>
      </c>
      <c r="I72" s="359">
        <f t="shared" si="26"/>
        <v>-7.8184280245756979E-2</v>
      </c>
      <c r="J72" s="82">
        <f t="shared" si="27"/>
        <v>-0.4224794612450925</v>
      </c>
      <c r="K72" s="302">
        <f t="shared" si="28"/>
        <v>60.407691109463961</v>
      </c>
      <c r="L72" s="359">
        <f t="shared" si="29"/>
        <v>-6.9637772088658803E-2</v>
      </c>
      <c r="M72" s="82">
        <f t="shared" si="30"/>
        <v>-0.4224794612450925</v>
      </c>
      <c r="N72" s="302">
        <f t="shared" si="31"/>
        <v>62.407672848680178</v>
      </c>
      <c r="O72" s="83">
        <v>2</v>
      </c>
      <c r="P72" s="471">
        <f t="shared" si="33"/>
        <v>62.411216856053343</v>
      </c>
      <c r="Q72" s="80" t="s">
        <v>33</v>
      </c>
      <c r="R72" s="84" t="s">
        <v>33</v>
      </c>
      <c r="S72" s="159">
        <f>1000*SQRT((1-(K72-$N$64-$AF$70)^2/$AD$70/$AD$70)*$AE$70*$AE$70)+$AG$70</f>
        <v>103.15087662841164</v>
      </c>
      <c r="T72" s="159">
        <f>1000*SQRT((1-(N72-$N$64-$AF$70)^2/$AD$70/$AD$70)*$AE$70*$AE$70)+$AG$70</f>
        <v>109.66406779381904</v>
      </c>
      <c r="U72" s="159">
        <f>1000*SQRT((1-(K72-$N$64-$AF$72)^2/$AD$72/$AD$72)*$AE$72*$AE$72)+$AG$72</f>
        <v>87.545824758827763</v>
      </c>
      <c r="V72" s="159">
        <f>1000*SQRT((1-(N72-$N$64-$AF$72)^2/$AD$72/$AD$72)*$AE$72*$AE$72)+$AG$72</f>
        <v>94.869643720018829</v>
      </c>
      <c r="W72" s="80">
        <v>2</v>
      </c>
      <c r="X72" s="81">
        <v>2</v>
      </c>
      <c r="Y72" s="81">
        <v>2</v>
      </c>
      <c r="Z72" s="84">
        <v>2</v>
      </c>
      <c r="AA72" s="428" t="s">
        <v>31</v>
      </c>
      <c r="AB72" s="84"/>
      <c r="AC72" s="15" t="s">
        <v>41</v>
      </c>
      <c r="AD72" s="15">
        <v>36</v>
      </c>
      <c r="AE72" s="15">
        <v>0.13</v>
      </c>
      <c r="AF72" s="15">
        <v>32.619</v>
      </c>
      <c r="AG72" s="16">
        <v>0</v>
      </c>
      <c r="AH72" s="26" t="s">
        <v>46</v>
      </c>
      <c r="AI72" s="22">
        <v>18</v>
      </c>
      <c r="AJ72" s="22">
        <v>6.5000000000000002E-2</v>
      </c>
      <c r="AK72" s="28">
        <f>0.055/2</f>
        <v>2.75E-2</v>
      </c>
    </row>
    <row r="73" spans="1:37" x14ac:dyDescent="0.2">
      <c r="A73" s="70" t="s">
        <v>43</v>
      </c>
      <c r="B73" s="71" t="s">
        <v>80</v>
      </c>
      <c r="C73" s="71"/>
      <c r="D73" s="360">
        <v>0</v>
      </c>
      <c r="E73" s="72">
        <f t="shared" si="32"/>
        <v>-0.24484016865061223</v>
      </c>
      <c r="F73" s="246">
        <f>(COS('Coords-Trans'!$T$4)*((COS(-banglerad)*K73+SIN(-banglerad)*I73)*1000+'Coords-Trans'!$J$8-'Coords-Trans'!$J$10)+SIN('Coords-Trans'!$T$4)*((-SIN(-banglerad)*K73+COS(-banglerad)*I73)*1000+'Coords-Trans'!$K$8-'Coords-Trans'!$K$10))</f>
        <v>62381.817880404575</v>
      </c>
      <c r="G73" s="210">
        <f>(-SIN('Coords-Trans'!$T$4)*((COS(-banglerad)*K73+SIN(-banglerad)*I73)*1000+'Coords-Trans'!$J$8-'Coords-Trans'!$J$10)+COS('Coords-Trans'!$T$4)*((-SIN(-banglerad)*K73+COS(-banglerad)*I73)*1000+'Coords-Trans'!$K$8-'Coords-Trans'!$K$10))</f>
        <v>442.04582499014941</v>
      </c>
      <c r="H73" s="280">
        <f t="shared" si="34"/>
        <v>-422.47946124509252</v>
      </c>
      <c r="I73" s="360">
        <f t="shared" si="26"/>
        <v>-6.9637772088658803E-2</v>
      </c>
      <c r="J73" s="72">
        <f t="shared" si="27"/>
        <v>-0.4224794612450925</v>
      </c>
      <c r="K73" s="303">
        <f t="shared" si="28"/>
        <v>62.407672848680178</v>
      </c>
      <c r="L73" s="360">
        <f t="shared" si="29"/>
        <v>-6.9633498834580254E-2</v>
      </c>
      <c r="M73" s="72">
        <f t="shared" si="30"/>
        <v>-0.4224794612450925</v>
      </c>
      <c r="N73" s="303">
        <f t="shared" si="31"/>
        <v>62.408672839549787</v>
      </c>
      <c r="O73" s="73">
        <v>1E-3</v>
      </c>
      <c r="P73" s="472">
        <f t="shared" si="33"/>
        <v>62.412216856053341</v>
      </c>
      <c r="Q73" s="70"/>
      <c r="R73" s="74"/>
      <c r="S73" s="157"/>
      <c r="T73" s="157"/>
      <c r="U73" s="157"/>
      <c r="V73" s="157"/>
      <c r="W73" s="70"/>
      <c r="X73" s="71"/>
      <c r="Y73" s="71"/>
      <c r="Z73" s="74"/>
      <c r="AA73" s="427"/>
      <c r="AB73" s="74"/>
      <c r="AC73" s="15"/>
      <c r="AD73" s="15"/>
      <c r="AE73" s="15"/>
      <c r="AF73" s="15"/>
      <c r="AG73" s="16"/>
      <c r="AH73" s="26"/>
      <c r="AI73" s="22"/>
      <c r="AJ73" s="22"/>
      <c r="AK73" s="28"/>
    </row>
    <row r="74" spans="1:37" ht="16" thickBot="1" x14ac:dyDescent="0.25">
      <c r="A74" s="75">
        <v>3</v>
      </c>
      <c r="B74" s="76" t="s">
        <v>80</v>
      </c>
      <c r="C74" s="76" t="s">
        <v>209</v>
      </c>
      <c r="D74" s="361">
        <v>0</v>
      </c>
      <c r="E74" s="77">
        <f t="shared" si="32"/>
        <v>-0.24484016865061223</v>
      </c>
      <c r="F74" s="247">
        <f>(COS('Coords-Trans'!$T$4)*((COS(-banglerad)*K74+SIN(-banglerad)*I74)*1000+'Coords-Trans'!$J$8-'Coords-Trans'!$J$10)+SIN('Coords-Trans'!$T$4)*((-SIN(-banglerad)*K74+COS(-banglerad)*I74)*1000+'Coords-Trans'!$K$8-'Coords-Trans'!$K$10))</f>
        <v>62382.817795906893</v>
      </c>
      <c r="G74" s="211">
        <f>(-SIN('Coords-Trans'!$T$4)*((COS(-banglerad)*K74+SIN(-banglerad)*I74)*1000+'Coords-Trans'!$J$8-'Coords-Trans'!$J$10)+COS('Coords-Trans'!$T$4)*((-SIN(-banglerad)*K74+COS(-banglerad)*I74)*1000+'Coords-Trans'!$K$8-'Coords-Trans'!$K$10))</f>
        <v>442.05882453733648</v>
      </c>
      <c r="H74" s="281">
        <f t="shared" si="34"/>
        <v>-422.47946124509252</v>
      </c>
      <c r="I74" s="361">
        <f t="shared" si="26"/>
        <v>-6.9633498834580254E-2</v>
      </c>
      <c r="J74" s="77">
        <f t="shared" si="27"/>
        <v>-0.4224794612450925</v>
      </c>
      <c r="K74" s="304">
        <f t="shared" si="28"/>
        <v>62.408672839549787</v>
      </c>
      <c r="L74" s="361">
        <f t="shared" si="29"/>
        <v>-6.1086990677482071E-2</v>
      </c>
      <c r="M74" s="77">
        <f t="shared" si="30"/>
        <v>-0.4224794612450925</v>
      </c>
      <c r="N74" s="304">
        <f t="shared" si="31"/>
        <v>64.408654578766004</v>
      </c>
      <c r="O74" s="78">
        <v>2</v>
      </c>
      <c r="P74" s="473">
        <f t="shared" si="33"/>
        <v>64.412216856053334</v>
      </c>
      <c r="Q74" s="75" t="s">
        <v>33</v>
      </c>
      <c r="R74" s="79" t="s">
        <v>33</v>
      </c>
      <c r="S74" s="158">
        <f>1000*SQRT((1-(K74-$N$64-$AF$70)^2/$AD$70/$AD$70)*$AE$70*$AE$70)+$AG$70</f>
        <v>109.66692830958301</v>
      </c>
      <c r="T74" s="158">
        <f>1000*SQRT((1-(N74-$N$64-$AF$70)^2/$AD$70/$AD$70)*$AE$70*$AE$70)+$AG$70</f>
        <v>114.67488755829893</v>
      </c>
      <c r="U74" s="158">
        <f>1000*SQRT((1-(K74-$N$64-$AF$72)^2/$AD$72/$AD$72)*$AE$72*$AE$72)+$AG$72</f>
        <v>94.873026702462596</v>
      </c>
      <c r="V74" s="158">
        <f>1000*SQRT((1-(N74-$N$64-$AF$72)^2/$AD$72/$AD$72)*$AE$72*$AE$72)+$AG$72</f>
        <v>101.15580962220982</v>
      </c>
      <c r="W74" s="75">
        <v>2</v>
      </c>
      <c r="X74" s="76">
        <v>2</v>
      </c>
      <c r="Y74" s="76">
        <v>2</v>
      </c>
      <c r="Z74" s="79">
        <v>2</v>
      </c>
      <c r="AA74" s="426" t="s">
        <v>31</v>
      </c>
      <c r="AB74" s="79"/>
      <c r="AC74" s="17"/>
      <c r="AD74" s="17"/>
      <c r="AE74" s="17"/>
      <c r="AF74" s="17"/>
      <c r="AG74" s="18"/>
      <c r="AH74" s="29"/>
      <c r="AI74" s="30"/>
      <c r="AJ74" s="30"/>
      <c r="AK74" s="31"/>
    </row>
    <row r="75" spans="1:37" ht="16" thickBot="1" x14ac:dyDescent="0.25">
      <c r="A75" s="70" t="s">
        <v>43</v>
      </c>
      <c r="B75" s="71"/>
      <c r="C75" s="71"/>
      <c r="D75" s="360">
        <v>0</v>
      </c>
      <c r="E75" s="72">
        <f t="shared" si="32"/>
        <v>-0.24484016865061223</v>
      </c>
      <c r="F75" s="246">
        <f>(COS('Coords-Trans'!$T$4)*((COS(-banglerad)*K75+SIN(-banglerad)*I75)*1000+'Coords-Trans'!$J$8-'Coords-Trans'!$J$10)+SIN('Coords-Trans'!$T$4)*((-SIN(-banglerad)*K75+COS(-banglerad)*I75)*1000+'Coords-Trans'!$K$8-'Coords-Trans'!$K$10))</f>
        <v>64382.648800539944</v>
      </c>
      <c r="G75" s="210">
        <f>(-SIN('Coords-Trans'!$T$4)*((COS(-banglerad)*K75+SIN(-banglerad)*I75)*1000+'Coords-Trans'!$J$8-'Coords-Trans'!$J$10)+COS('Coords-Trans'!$T$4)*((-SIN(-banglerad)*K75+COS(-banglerad)*I75)*1000+'Coords-Trans'!$K$8-'Coords-Trans'!$K$10))</f>
        <v>468.05791891296758</v>
      </c>
      <c r="H75" s="280">
        <f t="shared" si="34"/>
        <v>-422.47946124509252</v>
      </c>
      <c r="I75" s="360">
        <f t="shared" si="26"/>
        <v>-6.1086990677482071E-2</v>
      </c>
      <c r="J75" s="72">
        <f t="shared" si="27"/>
        <v>-0.4224794612450925</v>
      </c>
      <c r="K75" s="303">
        <f t="shared" si="28"/>
        <v>64.408654578766004</v>
      </c>
      <c r="L75" s="360">
        <f t="shared" si="29"/>
        <v>-6.1078444169324973E-2</v>
      </c>
      <c r="M75" s="72">
        <f t="shared" si="30"/>
        <v>-0.4224794612450925</v>
      </c>
      <c r="N75" s="303">
        <f t="shared" si="31"/>
        <v>64.410654560505222</v>
      </c>
      <c r="O75" s="73">
        <v>2E-3</v>
      </c>
      <c r="P75" s="472">
        <f t="shared" si="33"/>
        <v>64.414216856053329</v>
      </c>
      <c r="Q75" s="70"/>
      <c r="R75" s="74"/>
      <c r="S75" s="157"/>
      <c r="T75" s="157"/>
      <c r="U75" s="157"/>
      <c r="V75" s="157"/>
      <c r="W75" s="70"/>
      <c r="X75" s="71"/>
      <c r="Y75" s="71"/>
      <c r="Z75" s="74"/>
      <c r="AA75" s="427"/>
      <c r="AB75" s="74"/>
      <c r="AC75" s="15"/>
      <c r="AD75" s="15"/>
      <c r="AE75" s="15"/>
      <c r="AF75" s="15"/>
      <c r="AG75" s="15"/>
      <c r="AH75" s="32"/>
      <c r="AI75" s="32"/>
      <c r="AJ75" s="32"/>
      <c r="AK75" s="32"/>
    </row>
    <row r="76" spans="1:37" x14ac:dyDescent="0.2">
      <c r="A76" s="80">
        <v>3</v>
      </c>
      <c r="B76" s="81" t="s">
        <v>81</v>
      </c>
      <c r="C76" s="81" t="s">
        <v>210</v>
      </c>
      <c r="D76" s="359">
        <v>0</v>
      </c>
      <c r="E76" s="82">
        <f t="shared" si="32"/>
        <v>-0.24484016865061223</v>
      </c>
      <c r="F76" s="245">
        <f>(COS('Coords-Trans'!$T$4)*((COS(-banglerad)*K76+SIN(-banglerad)*I76)*1000+'Coords-Trans'!$J$8-'Coords-Trans'!$J$10)+SIN('Coords-Trans'!$T$4)*((-SIN(-banglerad)*K76+COS(-banglerad)*I76)*1000+'Coords-Trans'!$K$8-'Coords-Trans'!$K$10))</f>
        <v>64384.64863154458</v>
      </c>
      <c r="G76" s="209">
        <f>(-SIN('Coords-Trans'!$T$4)*((COS(-banglerad)*K76+SIN(-banglerad)*I76)*1000+'Coords-Trans'!$J$8-'Coords-Trans'!$J$10)+COS('Coords-Trans'!$T$4)*((-SIN(-banglerad)*K76+COS(-banglerad)*I76)*1000+'Coords-Trans'!$K$8-'Coords-Trans'!$K$10))</f>
        <v>468.08391800734171</v>
      </c>
      <c r="H76" s="279">
        <f t="shared" si="34"/>
        <v>-422.47946124509252</v>
      </c>
      <c r="I76" s="359">
        <f t="shared" si="26"/>
        <v>-6.1078444169324973E-2</v>
      </c>
      <c r="J76" s="82">
        <f t="shared" si="27"/>
        <v>-0.4224794612450925</v>
      </c>
      <c r="K76" s="302">
        <f t="shared" si="28"/>
        <v>64.410654560505222</v>
      </c>
      <c r="L76" s="359">
        <f t="shared" si="29"/>
        <v>-5.253193601222679E-2</v>
      </c>
      <c r="M76" s="82">
        <f t="shared" si="30"/>
        <v>-0.4224794612450925</v>
      </c>
      <c r="N76" s="302">
        <f t="shared" si="31"/>
        <v>66.410636299721432</v>
      </c>
      <c r="O76" s="83">
        <v>2</v>
      </c>
      <c r="P76" s="471">
        <f t="shared" si="33"/>
        <v>66.414216856053329</v>
      </c>
      <c r="Q76" s="80" t="s">
        <v>33</v>
      </c>
      <c r="R76" s="84" t="s">
        <v>33</v>
      </c>
      <c r="S76" s="159">
        <f>1000*SQRT((1-(K76-$N$64-$AF$70)^2/$AD$70/$AD$70)*$AE$70*$AE$70)+$AG$70</f>
        <v>114.67921328945545</v>
      </c>
      <c r="T76" s="159">
        <f>S76</f>
        <v>114.67921328945545</v>
      </c>
      <c r="U76" s="159">
        <f>1000*SQRT((1-(K76-$N$64-$AF$72)^2/$AD$72/$AD$72)*$AE$72*$AE$72)+$AG$72</f>
        <v>101.16163904983209</v>
      </c>
      <c r="V76" s="159">
        <f>1000*SQRT((1-(N76-$N$64-$AF$72)^2/$AD$72/$AD$72)*$AE$72*$AE$72)+$AG$72</f>
        <v>106.58733713778753</v>
      </c>
      <c r="W76" s="80">
        <v>2</v>
      </c>
      <c r="X76" s="81">
        <v>2</v>
      </c>
      <c r="Y76" s="81">
        <v>2</v>
      </c>
      <c r="Z76" s="84">
        <v>2</v>
      </c>
      <c r="AA76" s="428" t="s">
        <v>31</v>
      </c>
      <c r="AB76" s="84"/>
    </row>
    <row r="77" spans="1:37" x14ac:dyDescent="0.2">
      <c r="A77" s="70" t="s">
        <v>43</v>
      </c>
      <c r="B77" s="71" t="s">
        <v>81</v>
      </c>
      <c r="C77" s="71"/>
      <c r="D77" s="360">
        <v>0</v>
      </c>
      <c r="E77" s="72">
        <f t="shared" si="32"/>
        <v>-0.24484016865061223</v>
      </c>
      <c r="F77" s="246">
        <f>(COS('Coords-Trans'!$T$4)*((COS(-banglerad)*K77+SIN(-banglerad)*I77)*1000+'Coords-Trans'!$J$8-'Coords-Trans'!$J$10)+SIN('Coords-Trans'!$T$4)*((-SIN(-banglerad)*K77+COS(-banglerad)*I77)*1000+'Coords-Trans'!$K$8-'Coords-Trans'!$K$10))</f>
        <v>66384.479636177624</v>
      </c>
      <c r="G77" s="210">
        <f>(-SIN('Coords-Trans'!$T$4)*((COS(-banglerad)*K77+SIN(-banglerad)*I77)*1000+'Coords-Trans'!$J$8-'Coords-Trans'!$J$10)+COS('Coords-Trans'!$T$4)*((-SIN(-banglerad)*K77+COS(-banglerad)*I77)*1000+'Coords-Trans'!$K$8-'Coords-Trans'!$K$10))</f>
        <v>494.08301238296553</v>
      </c>
      <c r="H77" s="280">
        <f t="shared" si="34"/>
        <v>-422.47946124509252</v>
      </c>
      <c r="I77" s="360">
        <f t="shared" si="26"/>
        <v>-5.253193601222679E-2</v>
      </c>
      <c r="J77" s="72">
        <f t="shared" si="27"/>
        <v>-0.4224794612450925</v>
      </c>
      <c r="K77" s="303">
        <f t="shared" si="28"/>
        <v>66.410636299721432</v>
      </c>
      <c r="L77" s="360">
        <f t="shared" si="29"/>
        <v>-5.2527662758148241E-2</v>
      </c>
      <c r="M77" s="72">
        <f t="shared" si="30"/>
        <v>-0.4224794612450925</v>
      </c>
      <c r="N77" s="303">
        <f t="shared" si="31"/>
        <v>66.411636290591034</v>
      </c>
      <c r="O77" s="73">
        <v>1E-3</v>
      </c>
      <c r="P77" s="472">
        <f t="shared" si="33"/>
        <v>66.415216856053334</v>
      </c>
      <c r="Q77" s="70"/>
      <c r="R77" s="74"/>
      <c r="S77" s="157"/>
      <c r="T77" s="157"/>
      <c r="U77" s="157"/>
      <c r="V77" s="157"/>
      <c r="W77" s="70"/>
      <c r="X77" s="71"/>
      <c r="Y77" s="71"/>
      <c r="Z77" s="74"/>
      <c r="AA77" s="427"/>
      <c r="AB77" s="74"/>
    </row>
    <row r="78" spans="1:37" ht="16" thickBot="1" x14ac:dyDescent="0.25">
      <c r="A78" s="75">
        <v>3</v>
      </c>
      <c r="B78" s="76" t="s">
        <v>81</v>
      </c>
      <c r="C78" s="76" t="s">
        <v>211</v>
      </c>
      <c r="D78" s="361">
        <v>0</v>
      </c>
      <c r="E78" s="77">
        <f t="shared" si="32"/>
        <v>-0.24484016865061223</v>
      </c>
      <c r="F78" s="247">
        <f>(COS('Coords-Trans'!$T$4)*((COS(-banglerad)*K78+SIN(-banglerad)*I78)*1000+'Coords-Trans'!$J$8-'Coords-Trans'!$J$10)+SIN('Coords-Trans'!$T$4)*((-SIN(-banglerad)*K78+COS(-banglerad)*I78)*1000+'Coords-Trans'!$K$8-'Coords-Trans'!$K$10))</f>
        <v>66385.479551679935</v>
      </c>
      <c r="G78" s="211">
        <f>(-SIN('Coords-Trans'!$T$4)*((COS(-banglerad)*K78+SIN(-banglerad)*I78)*1000+'Coords-Trans'!$J$8-'Coords-Trans'!$J$10)+COS('Coords-Trans'!$T$4)*((-SIN(-banglerad)*K78+COS(-banglerad)*I78)*1000+'Coords-Trans'!$K$8-'Coords-Trans'!$K$10))</f>
        <v>494.0960119301526</v>
      </c>
      <c r="H78" s="281">
        <f t="shared" si="34"/>
        <v>-422.47946124509252</v>
      </c>
      <c r="I78" s="361">
        <f t="shared" si="26"/>
        <v>-5.2527662758148241E-2</v>
      </c>
      <c r="J78" s="77">
        <f t="shared" si="27"/>
        <v>-0.4224794612450925</v>
      </c>
      <c r="K78" s="304">
        <f t="shared" si="28"/>
        <v>66.411636290591034</v>
      </c>
      <c r="L78" s="361">
        <f t="shared" si="29"/>
        <v>-4.3981154601050058E-2</v>
      </c>
      <c r="M78" s="77">
        <f t="shared" si="30"/>
        <v>-0.4224794612450925</v>
      </c>
      <c r="N78" s="304">
        <f t="shared" si="31"/>
        <v>68.411618029807244</v>
      </c>
      <c r="O78" s="78">
        <v>2</v>
      </c>
      <c r="P78" s="473">
        <f t="shared" si="33"/>
        <v>68.415216856053334</v>
      </c>
      <c r="Q78" s="75" t="s">
        <v>33</v>
      </c>
      <c r="R78" s="79" t="s">
        <v>33</v>
      </c>
      <c r="S78" s="158">
        <f>S76</f>
        <v>114.67921328945545</v>
      </c>
      <c r="T78" s="158">
        <f>S78</f>
        <v>114.67921328945545</v>
      </c>
      <c r="U78" s="158">
        <f>1000*SQRT((1-(K78-$N$64-$AF$72)^2/$AD$72/$AD$72)*$AE$72*$AE$72)+$AG$72</f>
        <v>106.58985850879652</v>
      </c>
      <c r="V78" s="158">
        <f>1000*SQRT((1-(N78-$N$64-$AF$72)^2/$AD$72/$AD$72)*$AE$72*$AE$72)+$AG$72</f>
        <v>111.28436510840044</v>
      </c>
      <c r="W78" s="75">
        <v>2</v>
      </c>
      <c r="X78" s="76">
        <v>2</v>
      </c>
      <c r="Y78" s="76">
        <v>2</v>
      </c>
      <c r="Z78" s="79">
        <v>2</v>
      </c>
      <c r="AA78" s="426" t="s">
        <v>31</v>
      </c>
      <c r="AB78" s="79" t="s">
        <v>132</v>
      </c>
    </row>
    <row r="79" spans="1:37" ht="16" thickBot="1" x14ac:dyDescent="0.25">
      <c r="A79" s="70" t="s">
        <v>43</v>
      </c>
      <c r="B79" s="71"/>
      <c r="C79" s="71"/>
      <c r="D79" s="360">
        <v>0</v>
      </c>
      <c r="E79" s="72">
        <f t="shared" si="32"/>
        <v>-0.24484016865061223</v>
      </c>
      <c r="F79" s="246">
        <f>(COS('Coords-Trans'!$T$4)*((COS(-banglerad)*K79+SIN(-banglerad)*I79)*1000+'Coords-Trans'!$J$8-'Coords-Trans'!$J$10)+SIN('Coords-Trans'!$T$4)*((-SIN(-banglerad)*K79+COS(-banglerad)*I79)*1000+'Coords-Trans'!$K$8-'Coords-Trans'!$K$10))</f>
        <v>68385.310556312979</v>
      </c>
      <c r="G79" s="210">
        <f>(-SIN('Coords-Trans'!$T$4)*((COS(-banglerad)*K79+SIN(-banglerad)*I79)*1000+'Coords-Trans'!$J$8-'Coords-Trans'!$J$10)+COS('Coords-Trans'!$T$4)*((-SIN(-banglerad)*K79+COS(-banglerad)*I79)*1000+'Coords-Trans'!$K$8-'Coords-Trans'!$K$10))</f>
        <v>520.09510630578734</v>
      </c>
      <c r="H79" s="280">
        <f t="shared" si="34"/>
        <v>-422.47946124509252</v>
      </c>
      <c r="I79" s="360">
        <f t="shared" si="26"/>
        <v>-4.3981154601050058E-2</v>
      </c>
      <c r="J79" s="72">
        <f t="shared" si="27"/>
        <v>-0.4224794612450925</v>
      </c>
      <c r="K79" s="303">
        <f t="shared" si="28"/>
        <v>68.411618029807244</v>
      </c>
      <c r="L79" s="360">
        <f t="shared" si="29"/>
        <v>-4.3972608092892961E-2</v>
      </c>
      <c r="M79" s="72">
        <f t="shared" si="30"/>
        <v>-0.4224794612450925</v>
      </c>
      <c r="N79" s="303">
        <f t="shared" si="31"/>
        <v>68.413618011546461</v>
      </c>
      <c r="O79" s="73">
        <v>2E-3</v>
      </c>
      <c r="P79" s="472">
        <f t="shared" si="33"/>
        <v>68.417216856053329</v>
      </c>
      <c r="Q79" s="70"/>
      <c r="R79" s="74"/>
      <c r="S79" s="157"/>
      <c r="T79" s="157"/>
      <c r="U79" s="157"/>
      <c r="V79" s="157"/>
      <c r="W79" s="70"/>
      <c r="X79" s="71"/>
      <c r="Y79" s="71"/>
      <c r="Z79" s="74"/>
      <c r="AA79" s="427"/>
      <c r="AB79" s="74"/>
    </row>
    <row r="80" spans="1:37" x14ac:dyDescent="0.2">
      <c r="A80" s="90">
        <v>4</v>
      </c>
      <c r="B80" s="91" t="s">
        <v>85</v>
      </c>
      <c r="C80" s="91" t="s">
        <v>212</v>
      </c>
      <c r="D80" s="362">
        <v>0</v>
      </c>
      <c r="E80" s="92">
        <f t="shared" si="32"/>
        <v>-0.24484016865061223</v>
      </c>
      <c r="F80" s="248">
        <f>(COS('Coords-Trans'!$T$4)*((COS(-banglerad)*K80+SIN(-banglerad)*I80)*1000+'Coords-Trans'!$J$8-'Coords-Trans'!$J$10)+SIN('Coords-Trans'!$T$4)*((-SIN(-banglerad)*K80+COS(-banglerad)*I80)*1000+'Coords-Trans'!$K$8-'Coords-Trans'!$K$10))</f>
        <v>68387.310387317615</v>
      </c>
      <c r="G80" s="212">
        <f>(-SIN('Coords-Trans'!$T$4)*((COS(-banglerad)*K80+SIN(-banglerad)*I80)*1000+'Coords-Trans'!$J$8-'Coords-Trans'!$J$10)+COS('Coords-Trans'!$T$4)*((-SIN(-banglerad)*K80+COS(-banglerad)*I80)*1000+'Coords-Trans'!$K$8-'Coords-Trans'!$K$10))</f>
        <v>520.12110540016147</v>
      </c>
      <c r="H80" s="282">
        <f t="shared" si="34"/>
        <v>-422.47946124509252</v>
      </c>
      <c r="I80" s="362">
        <f t="shared" si="26"/>
        <v>-4.3972608092892961E-2</v>
      </c>
      <c r="J80" s="92">
        <f t="shared" si="27"/>
        <v>-0.4224794612450925</v>
      </c>
      <c r="K80" s="305">
        <f t="shared" si="28"/>
        <v>68.413618011546461</v>
      </c>
      <c r="L80" s="362">
        <f t="shared" si="29"/>
        <v>-3.5426099935794778E-2</v>
      </c>
      <c r="M80" s="92">
        <f t="shared" si="30"/>
        <v>-0.4224794612450925</v>
      </c>
      <c r="N80" s="305">
        <f t="shared" si="31"/>
        <v>70.413599750762671</v>
      </c>
      <c r="O80" s="93">
        <v>2</v>
      </c>
      <c r="P80" s="474">
        <f t="shared" si="33"/>
        <v>70.417216856053329</v>
      </c>
      <c r="Q80" s="90" t="s">
        <v>33</v>
      </c>
      <c r="R80" s="94" t="s">
        <v>33</v>
      </c>
      <c r="S80" s="161">
        <v>114.66</v>
      </c>
      <c r="T80" s="161">
        <v>114.66</v>
      </c>
      <c r="U80" s="161">
        <f>V78</f>
        <v>111.28436510840044</v>
      </c>
      <c r="V80" s="161">
        <f>U80</f>
        <v>111.28436510840044</v>
      </c>
      <c r="W80" s="90">
        <v>2</v>
      </c>
      <c r="X80" s="91">
        <v>2</v>
      </c>
      <c r="Y80" s="91">
        <v>2</v>
      </c>
      <c r="Z80" s="94">
        <v>2</v>
      </c>
      <c r="AA80" s="429" t="s">
        <v>31</v>
      </c>
      <c r="AB80" s="94" t="s">
        <v>72</v>
      </c>
    </row>
    <row r="81" spans="1:28" x14ac:dyDescent="0.2">
      <c r="A81" s="95" t="s">
        <v>43</v>
      </c>
      <c r="B81" s="96" t="s">
        <v>85</v>
      </c>
      <c r="C81" s="96"/>
      <c r="D81" s="363">
        <v>0</v>
      </c>
      <c r="E81" s="97">
        <f t="shared" si="32"/>
        <v>-0.24484016865061223</v>
      </c>
      <c r="F81" s="249">
        <f>(COS('Coords-Trans'!$T$4)*((COS(-banglerad)*K81+SIN(-banglerad)*I81)*1000+'Coords-Trans'!$J$8-'Coords-Trans'!$J$10)+SIN('Coords-Trans'!$T$4)*((-SIN(-banglerad)*K81+COS(-banglerad)*I81)*1000+'Coords-Trans'!$K$8-'Coords-Trans'!$K$10))</f>
        <v>70387.141391950659</v>
      </c>
      <c r="G81" s="213">
        <f>(-SIN('Coords-Trans'!$T$4)*((COS(-banglerad)*K81+SIN(-banglerad)*I81)*1000+'Coords-Trans'!$J$8-'Coords-Trans'!$J$10)+COS('Coords-Trans'!$T$4)*((-SIN(-banglerad)*K81+COS(-banglerad)*I81)*1000+'Coords-Trans'!$K$8-'Coords-Trans'!$K$10))</f>
        <v>546.12019977578166</v>
      </c>
      <c r="H81" s="283">
        <f t="shared" si="34"/>
        <v>-422.47946124509252</v>
      </c>
      <c r="I81" s="363">
        <f t="shared" si="26"/>
        <v>-3.5426099935794778E-2</v>
      </c>
      <c r="J81" s="97">
        <f t="shared" si="27"/>
        <v>-0.4224794612450925</v>
      </c>
      <c r="K81" s="306">
        <f t="shared" si="28"/>
        <v>70.413599750762671</v>
      </c>
      <c r="L81" s="363">
        <f t="shared" si="29"/>
        <v>-3.5421826681716229E-2</v>
      </c>
      <c r="M81" s="97">
        <f t="shared" si="30"/>
        <v>-0.4224794612450925</v>
      </c>
      <c r="N81" s="306">
        <f t="shared" si="31"/>
        <v>70.414599741632273</v>
      </c>
      <c r="O81" s="98">
        <v>1E-3</v>
      </c>
      <c r="P81" s="475">
        <f t="shared" si="33"/>
        <v>70.418216856053334</v>
      </c>
      <c r="Q81" s="95"/>
      <c r="R81" s="99"/>
      <c r="S81" s="162"/>
      <c r="T81" s="162"/>
      <c r="U81" s="162"/>
      <c r="V81" s="162"/>
      <c r="W81" s="95"/>
      <c r="X81" s="96"/>
      <c r="Y81" s="96"/>
      <c r="Z81" s="99"/>
      <c r="AA81" s="430"/>
      <c r="AB81" s="99"/>
    </row>
    <row r="82" spans="1:28" ht="16" thickBot="1" x14ac:dyDescent="0.25">
      <c r="A82" s="85">
        <v>4</v>
      </c>
      <c r="B82" s="86" t="s">
        <v>85</v>
      </c>
      <c r="C82" s="86" t="s">
        <v>213</v>
      </c>
      <c r="D82" s="364">
        <v>0</v>
      </c>
      <c r="E82" s="87">
        <f t="shared" si="32"/>
        <v>-0.24484016865061223</v>
      </c>
      <c r="F82" s="250">
        <f>(COS('Coords-Trans'!$T$4)*((COS(-banglerad)*K82+SIN(-banglerad)*I82)*1000+'Coords-Trans'!$J$8-'Coords-Trans'!$J$10)+SIN('Coords-Trans'!$T$4)*((-SIN(-banglerad)*K82+COS(-banglerad)*I82)*1000+'Coords-Trans'!$K$8-'Coords-Trans'!$K$10))</f>
        <v>70388.141307452985</v>
      </c>
      <c r="G82" s="214">
        <f>(-SIN('Coords-Trans'!$T$4)*((COS(-banglerad)*K82+SIN(-banglerad)*I82)*1000+'Coords-Trans'!$J$8-'Coords-Trans'!$J$10)+COS('Coords-Trans'!$T$4)*((-SIN(-banglerad)*K82+COS(-banglerad)*I82)*1000+'Coords-Trans'!$K$8-'Coords-Trans'!$K$10))</f>
        <v>546.13319932296872</v>
      </c>
      <c r="H82" s="284">
        <f t="shared" si="34"/>
        <v>-422.47946124509252</v>
      </c>
      <c r="I82" s="364">
        <f t="shared" si="26"/>
        <v>-3.5421826681716229E-2</v>
      </c>
      <c r="J82" s="87">
        <f t="shared" si="27"/>
        <v>-0.4224794612450925</v>
      </c>
      <c r="K82" s="307">
        <f t="shared" si="28"/>
        <v>70.414599741632273</v>
      </c>
      <c r="L82" s="364">
        <f t="shared" si="29"/>
        <v>-2.6875318524618046E-2</v>
      </c>
      <c r="M82" s="87">
        <f t="shared" si="30"/>
        <v>-0.4224794612450925</v>
      </c>
      <c r="N82" s="307">
        <f t="shared" si="31"/>
        <v>72.414581480848483</v>
      </c>
      <c r="O82" s="88">
        <v>2</v>
      </c>
      <c r="P82" s="476">
        <f t="shared" si="33"/>
        <v>72.418216856053334</v>
      </c>
      <c r="Q82" s="85" t="s">
        <v>33</v>
      </c>
      <c r="R82" s="89" t="s">
        <v>33</v>
      </c>
      <c r="S82" s="160">
        <v>114.66</v>
      </c>
      <c r="T82" s="160">
        <v>114.66</v>
      </c>
      <c r="U82" s="160">
        <f t="shared" ref="U82" si="35">V80</f>
        <v>111.28436510840044</v>
      </c>
      <c r="V82" s="160">
        <f t="shared" ref="V82" si="36">U82</f>
        <v>111.28436510840044</v>
      </c>
      <c r="W82" s="85">
        <v>2</v>
      </c>
      <c r="X82" s="86">
        <v>2</v>
      </c>
      <c r="Y82" s="86">
        <v>2</v>
      </c>
      <c r="Z82" s="89">
        <v>2</v>
      </c>
      <c r="AA82" s="431" t="s">
        <v>31</v>
      </c>
      <c r="AB82" s="89"/>
    </row>
    <row r="83" spans="1:28" ht="16" thickBot="1" x14ac:dyDescent="0.25">
      <c r="A83" s="95" t="s">
        <v>43</v>
      </c>
      <c r="B83" s="96"/>
      <c r="C83" s="96"/>
      <c r="D83" s="363">
        <v>0</v>
      </c>
      <c r="E83" s="97">
        <f t="shared" si="32"/>
        <v>-0.24484016865061223</v>
      </c>
      <c r="F83" s="249">
        <f>(COS('Coords-Trans'!$T$4)*((COS(-banglerad)*K83+SIN(-banglerad)*I83)*1000+'Coords-Trans'!$J$8-'Coords-Trans'!$J$10)+SIN('Coords-Trans'!$T$4)*((-SIN(-banglerad)*K83+COS(-banglerad)*I83)*1000+'Coords-Trans'!$K$8-'Coords-Trans'!$K$10))</f>
        <v>72387.972312086029</v>
      </c>
      <c r="G83" s="213">
        <f>(-SIN('Coords-Trans'!$T$4)*((COS(-banglerad)*K83+SIN(-banglerad)*I83)*1000+'Coords-Trans'!$J$8-'Coords-Trans'!$J$10)+COS('Coords-Trans'!$T$4)*((-SIN(-banglerad)*K83+COS(-banglerad)*I83)*1000+'Coords-Trans'!$K$8-'Coords-Trans'!$K$10))</f>
        <v>572.13229369859619</v>
      </c>
      <c r="H83" s="283">
        <f t="shared" si="34"/>
        <v>-422.47946124509252</v>
      </c>
      <c r="I83" s="363">
        <f t="shared" si="26"/>
        <v>-2.6875318524618046E-2</v>
      </c>
      <c r="J83" s="97">
        <f t="shared" si="27"/>
        <v>-0.4224794612450925</v>
      </c>
      <c r="K83" s="306">
        <f t="shared" si="28"/>
        <v>72.414581480848483</v>
      </c>
      <c r="L83" s="363">
        <f t="shared" si="29"/>
        <v>-2.6866772016460948E-2</v>
      </c>
      <c r="M83" s="97">
        <f t="shared" si="30"/>
        <v>-0.4224794612450925</v>
      </c>
      <c r="N83" s="306">
        <f t="shared" si="31"/>
        <v>72.4165814625877</v>
      </c>
      <c r="O83" s="98">
        <v>2E-3</v>
      </c>
      <c r="P83" s="475">
        <f t="shared" si="33"/>
        <v>72.420216856053329</v>
      </c>
      <c r="Q83" s="95"/>
      <c r="R83" s="99"/>
      <c r="S83" s="162"/>
      <c r="T83" s="162"/>
      <c r="U83" s="162"/>
      <c r="V83" s="162"/>
      <c r="W83" s="95"/>
      <c r="X83" s="96"/>
      <c r="Y83" s="96"/>
      <c r="Z83" s="99"/>
      <c r="AA83" s="430"/>
      <c r="AB83" s="99"/>
    </row>
    <row r="84" spans="1:28" x14ac:dyDescent="0.2">
      <c r="A84" s="90">
        <v>4</v>
      </c>
      <c r="B84" s="91" t="s">
        <v>86</v>
      </c>
      <c r="C84" s="91" t="s">
        <v>214</v>
      </c>
      <c r="D84" s="362">
        <v>0</v>
      </c>
      <c r="E84" s="92">
        <f t="shared" si="32"/>
        <v>-0.24484016865061223</v>
      </c>
      <c r="F84" s="248">
        <f>(COS('Coords-Trans'!$T$4)*((COS(-banglerad)*K84+SIN(-banglerad)*I84)*1000+'Coords-Trans'!$J$8-'Coords-Trans'!$J$10)+SIN('Coords-Trans'!$T$4)*((-SIN(-banglerad)*K84+COS(-banglerad)*I84)*1000+'Coords-Trans'!$K$8-'Coords-Trans'!$K$10))</f>
        <v>72389.972143090665</v>
      </c>
      <c r="G84" s="212">
        <f>(-SIN('Coords-Trans'!$T$4)*((COS(-banglerad)*K84+SIN(-banglerad)*I84)*1000+'Coords-Trans'!$J$8-'Coords-Trans'!$J$10)+COS('Coords-Trans'!$T$4)*((-SIN(-banglerad)*K84+COS(-banglerad)*I84)*1000+'Coords-Trans'!$K$8-'Coords-Trans'!$K$10))</f>
        <v>572.15829279297031</v>
      </c>
      <c r="H84" s="282">
        <f t="shared" si="34"/>
        <v>-422.47946124509252</v>
      </c>
      <c r="I84" s="362">
        <f t="shared" si="26"/>
        <v>-2.6866772016460948E-2</v>
      </c>
      <c r="J84" s="92">
        <f t="shared" si="27"/>
        <v>-0.4224794612450925</v>
      </c>
      <c r="K84" s="305">
        <f t="shared" si="28"/>
        <v>72.4165814625877</v>
      </c>
      <c r="L84" s="362">
        <f t="shared" si="29"/>
        <v>-1.8320263859362765E-2</v>
      </c>
      <c r="M84" s="92">
        <f t="shared" si="30"/>
        <v>-0.4224794612450925</v>
      </c>
      <c r="N84" s="305">
        <f t="shared" si="31"/>
        <v>74.41656320180391</v>
      </c>
      <c r="O84" s="93">
        <v>2</v>
      </c>
      <c r="P84" s="474">
        <f t="shared" si="33"/>
        <v>74.420216856053329</v>
      </c>
      <c r="Q84" s="90" t="s">
        <v>33</v>
      </c>
      <c r="R84" s="94" t="s">
        <v>33</v>
      </c>
      <c r="S84" s="161">
        <v>114.66</v>
      </c>
      <c r="T84" s="161">
        <v>114.66</v>
      </c>
      <c r="U84" s="161">
        <f t="shared" ref="U84" si="37">V82</f>
        <v>111.28436510840044</v>
      </c>
      <c r="V84" s="161">
        <f t="shared" ref="V84" si="38">U84</f>
        <v>111.28436510840044</v>
      </c>
      <c r="W84" s="90">
        <v>2</v>
      </c>
      <c r="X84" s="91">
        <v>2</v>
      </c>
      <c r="Y84" s="91">
        <v>2</v>
      </c>
      <c r="Z84" s="94">
        <v>2</v>
      </c>
      <c r="AA84" s="429" t="s">
        <v>31</v>
      </c>
      <c r="AB84" s="94"/>
    </row>
    <row r="85" spans="1:28" x14ac:dyDescent="0.2">
      <c r="A85" s="95" t="s">
        <v>43</v>
      </c>
      <c r="B85" s="96" t="s">
        <v>86</v>
      </c>
      <c r="C85" s="96"/>
      <c r="D85" s="363">
        <v>0</v>
      </c>
      <c r="E85" s="97">
        <f t="shared" si="32"/>
        <v>-0.24484016865061223</v>
      </c>
      <c r="F85" s="249">
        <f>(COS('Coords-Trans'!$T$4)*((COS(-banglerad)*K85+SIN(-banglerad)*I85)*1000+'Coords-Trans'!$J$8-'Coords-Trans'!$J$10)+SIN('Coords-Trans'!$T$4)*((-SIN(-banglerad)*K85+COS(-banglerad)*I85)*1000+'Coords-Trans'!$K$8-'Coords-Trans'!$K$10))</f>
        <v>74389.803147723709</v>
      </c>
      <c r="G85" s="213">
        <f>(-SIN('Coords-Trans'!$T$4)*((COS(-banglerad)*K85+SIN(-banglerad)*I85)*1000+'Coords-Trans'!$J$8-'Coords-Trans'!$J$10)+COS('Coords-Trans'!$T$4)*((-SIN(-banglerad)*K85+COS(-banglerad)*I85)*1000+'Coords-Trans'!$K$8-'Coords-Trans'!$K$10))</f>
        <v>598.15738716859778</v>
      </c>
      <c r="H85" s="283">
        <f t="shared" si="34"/>
        <v>-422.47946124509252</v>
      </c>
      <c r="I85" s="363">
        <f t="shared" si="26"/>
        <v>-1.8320263859362765E-2</v>
      </c>
      <c r="J85" s="97">
        <f t="shared" si="27"/>
        <v>-0.4224794612450925</v>
      </c>
      <c r="K85" s="306">
        <f t="shared" si="28"/>
        <v>74.41656320180391</v>
      </c>
      <c r="L85" s="363">
        <f t="shared" si="29"/>
        <v>-1.8315990605284216E-2</v>
      </c>
      <c r="M85" s="97">
        <f t="shared" si="30"/>
        <v>-0.4224794612450925</v>
      </c>
      <c r="N85" s="306">
        <f t="shared" si="31"/>
        <v>74.417563192673512</v>
      </c>
      <c r="O85" s="98">
        <v>1E-3</v>
      </c>
      <c r="P85" s="475">
        <f t="shared" si="33"/>
        <v>74.421216856053334</v>
      </c>
      <c r="Q85" s="95"/>
      <c r="R85" s="99"/>
      <c r="S85" s="162"/>
      <c r="T85" s="162"/>
      <c r="U85" s="162"/>
      <c r="V85" s="162"/>
      <c r="W85" s="95"/>
      <c r="X85" s="96"/>
      <c r="Y85" s="96"/>
      <c r="Z85" s="99"/>
      <c r="AA85" s="430"/>
      <c r="AB85" s="99"/>
    </row>
    <row r="86" spans="1:28" ht="16" thickBot="1" x14ac:dyDescent="0.25">
      <c r="A86" s="85">
        <v>4</v>
      </c>
      <c r="B86" s="86" t="s">
        <v>86</v>
      </c>
      <c r="C86" s="86" t="s">
        <v>215</v>
      </c>
      <c r="D86" s="364">
        <v>0</v>
      </c>
      <c r="E86" s="87">
        <f t="shared" si="32"/>
        <v>-0.24484016865061223</v>
      </c>
      <c r="F86" s="250">
        <f>(COS('Coords-Trans'!$T$4)*((COS(-banglerad)*K86+SIN(-banglerad)*I86)*1000+'Coords-Trans'!$J$8-'Coords-Trans'!$J$10)+SIN('Coords-Trans'!$T$4)*((-SIN(-banglerad)*K86+COS(-banglerad)*I86)*1000+'Coords-Trans'!$K$8-'Coords-Trans'!$K$10))</f>
        <v>74390.80306322602</v>
      </c>
      <c r="G86" s="214">
        <f>(-SIN('Coords-Trans'!$T$4)*((COS(-banglerad)*K86+SIN(-banglerad)*I86)*1000+'Coords-Trans'!$J$8-'Coords-Trans'!$J$10)+COS('Coords-Trans'!$T$4)*((-SIN(-banglerad)*K86+COS(-banglerad)*I86)*1000+'Coords-Trans'!$K$8-'Coords-Trans'!$K$10))</f>
        <v>598.17038671578484</v>
      </c>
      <c r="H86" s="284">
        <f t="shared" si="34"/>
        <v>-422.47946124509252</v>
      </c>
      <c r="I86" s="364">
        <f t="shared" si="26"/>
        <v>-1.8315990605284216E-2</v>
      </c>
      <c r="J86" s="87">
        <f t="shared" si="27"/>
        <v>-0.4224794612450925</v>
      </c>
      <c r="K86" s="307">
        <f t="shared" si="28"/>
        <v>74.417563192673512</v>
      </c>
      <c r="L86" s="364">
        <f t="shared" si="29"/>
        <v>-9.7694824481860346E-3</v>
      </c>
      <c r="M86" s="87">
        <f t="shared" si="30"/>
        <v>-0.4224794612450925</v>
      </c>
      <c r="N86" s="307">
        <f t="shared" si="31"/>
        <v>76.417544931889722</v>
      </c>
      <c r="O86" s="88">
        <v>2</v>
      </c>
      <c r="P86" s="476">
        <f t="shared" si="33"/>
        <v>76.421216856053334</v>
      </c>
      <c r="Q86" s="85" t="s">
        <v>33</v>
      </c>
      <c r="R86" s="89" t="s">
        <v>33</v>
      </c>
      <c r="S86" s="160">
        <v>114.66</v>
      </c>
      <c r="T86" s="160">
        <v>114.66</v>
      </c>
      <c r="U86" s="160">
        <f t="shared" ref="U86" si="39">V84</f>
        <v>111.28436510840044</v>
      </c>
      <c r="V86" s="160">
        <f t="shared" ref="V86" si="40">U86</f>
        <v>111.28436510840044</v>
      </c>
      <c r="W86" s="85">
        <v>2</v>
      </c>
      <c r="X86" s="86">
        <v>2</v>
      </c>
      <c r="Y86" s="86">
        <v>2</v>
      </c>
      <c r="Z86" s="89">
        <v>2</v>
      </c>
      <c r="AA86" s="431" t="s">
        <v>31</v>
      </c>
      <c r="AB86" s="89"/>
    </row>
    <row r="87" spans="1:28" ht="16" thickBot="1" x14ac:dyDescent="0.25">
      <c r="A87" s="95" t="s">
        <v>43</v>
      </c>
      <c r="B87" s="96"/>
      <c r="C87" s="96"/>
      <c r="D87" s="363">
        <v>0</v>
      </c>
      <c r="E87" s="97">
        <f t="shared" si="32"/>
        <v>-0.24484016865061223</v>
      </c>
      <c r="F87" s="249">
        <f>(COS('Coords-Trans'!$T$4)*((COS(-banglerad)*K87+SIN(-banglerad)*I87)*1000+'Coords-Trans'!$J$8-'Coords-Trans'!$J$10)+SIN('Coords-Trans'!$T$4)*((-SIN(-banglerad)*K87+COS(-banglerad)*I87)*1000+'Coords-Trans'!$K$8-'Coords-Trans'!$K$10))</f>
        <v>76390.634067859064</v>
      </c>
      <c r="G87" s="213">
        <f>(-SIN('Coords-Trans'!$T$4)*((COS(-banglerad)*K87+SIN(-banglerad)*I87)*1000+'Coords-Trans'!$J$8-'Coords-Trans'!$J$10)+COS('Coords-Trans'!$T$4)*((-SIN(-banglerad)*K87+COS(-banglerad)*I87)*1000+'Coords-Trans'!$K$8-'Coords-Trans'!$K$10))</f>
        <v>624.16948109141231</v>
      </c>
      <c r="H87" s="283">
        <f t="shared" si="34"/>
        <v>-422.47946124509252</v>
      </c>
      <c r="I87" s="363">
        <f t="shared" si="26"/>
        <v>-9.7694824481860346E-3</v>
      </c>
      <c r="J87" s="97">
        <f t="shared" si="27"/>
        <v>-0.4224794612450925</v>
      </c>
      <c r="K87" s="306">
        <f t="shared" si="28"/>
        <v>76.417544931889722</v>
      </c>
      <c r="L87" s="363">
        <f t="shared" ref="L87:L150" si="41">I87-SIN(E87/180*PI())*O87</f>
        <v>-9.7609359400289367E-3</v>
      </c>
      <c r="M87" s="97">
        <f t="shared" ref="M87:M150" si="42">J87+SIN(D87/180*PI())*O87</f>
        <v>-0.4224794612450925</v>
      </c>
      <c r="N87" s="306">
        <f t="shared" ref="N87:N150" si="43">K87+O87*COS(E87*PI()/180)*COS(D87*PI()/180)</f>
        <v>76.41954491362894</v>
      </c>
      <c r="O87" s="98">
        <v>2E-3</v>
      </c>
      <c r="P87" s="475">
        <f t="shared" si="33"/>
        <v>76.42321685605333</v>
      </c>
      <c r="Q87" s="95"/>
      <c r="R87" s="99"/>
      <c r="S87" s="162"/>
      <c r="T87" s="162"/>
      <c r="U87" s="162"/>
      <c r="V87" s="162"/>
      <c r="W87" s="95"/>
      <c r="X87" s="96"/>
      <c r="Y87" s="96"/>
      <c r="Z87" s="99"/>
      <c r="AA87" s="430"/>
      <c r="AB87" s="99"/>
    </row>
    <row r="88" spans="1:28" x14ac:dyDescent="0.2">
      <c r="A88" s="90">
        <v>4</v>
      </c>
      <c r="B88" s="91" t="s">
        <v>87</v>
      </c>
      <c r="C88" s="91" t="s">
        <v>216</v>
      </c>
      <c r="D88" s="362">
        <v>0</v>
      </c>
      <c r="E88" s="92">
        <f t="shared" si="32"/>
        <v>-0.24484016865061223</v>
      </c>
      <c r="F88" s="248">
        <f>(COS('Coords-Trans'!$T$4)*((COS(-banglerad)*K88+SIN(-banglerad)*I88)*1000+'Coords-Trans'!$J$8-'Coords-Trans'!$J$10)+SIN('Coords-Trans'!$T$4)*((-SIN(-banglerad)*K88+COS(-banglerad)*I88)*1000+'Coords-Trans'!$K$8-'Coords-Trans'!$K$10))</f>
        <v>76392.6338988637</v>
      </c>
      <c r="G88" s="212">
        <f>(-SIN('Coords-Trans'!$T$4)*((COS(-banglerad)*K88+SIN(-banglerad)*I88)*1000+'Coords-Trans'!$J$8-'Coords-Trans'!$J$10)+COS('Coords-Trans'!$T$4)*((-SIN(-banglerad)*K88+COS(-banglerad)*I88)*1000+'Coords-Trans'!$K$8-'Coords-Trans'!$K$10))</f>
        <v>624.19548018578644</v>
      </c>
      <c r="H88" s="282">
        <f t="shared" si="34"/>
        <v>-422.47946124509252</v>
      </c>
      <c r="I88" s="362">
        <f t="shared" si="26"/>
        <v>-9.7609359400289367E-3</v>
      </c>
      <c r="J88" s="92">
        <f t="shared" si="27"/>
        <v>-0.4224794612450925</v>
      </c>
      <c r="K88" s="305">
        <f t="shared" si="28"/>
        <v>76.41954491362894</v>
      </c>
      <c r="L88" s="362">
        <f t="shared" si="41"/>
        <v>-1.2144277829307555E-3</v>
      </c>
      <c r="M88" s="92">
        <f t="shared" si="42"/>
        <v>-0.4224794612450925</v>
      </c>
      <c r="N88" s="305">
        <f t="shared" si="43"/>
        <v>78.41952665284515</v>
      </c>
      <c r="O88" s="93">
        <v>2</v>
      </c>
      <c r="P88" s="474">
        <f t="shared" si="33"/>
        <v>78.42321685605333</v>
      </c>
      <c r="Q88" s="90" t="s">
        <v>33</v>
      </c>
      <c r="R88" s="94" t="s">
        <v>33</v>
      </c>
      <c r="S88" s="161">
        <v>114.66</v>
      </c>
      <c r="T88" s="161">
        <v>114.66</v>
      </c>
      <c r="U88" s="161">
        <f t="shared" ref="U88" si="44">V86</f>
        <v>111.28436510840044</v>
      </c>
      <c r="V88" s="161">
        <f t="shared" ref="V88" si="45">U88</f>
        <v>111.28436510840044</v>
      </c>
      <c r="W88" s="90">
        <v>2</v>
      </c>
      <c r="X88" s="91">
        <v>2</v>
      </c>
      <c r="Y88" s="91">
        <v>2</v>
      </c>
      <c r="Z88" s="94">
        <v>2</v>
      </c>
      <c r="AA88" s="429" t="s">
        <v>31</v>
      </c>
      <c r="AB88" s="94"/>
    </row>
    <row r="89" spans="1:28" x14ac:dyDescent="0.2">
      <c r="A89" s="95" t="s">
        <v>43</v>
      </c>
      <c r="B89" s="96" t="s">
        <v>87</v>
      </c>
      <c r="C89" s="96"/>
      <c r="D89" s="363">
        <v>0</v>
      </c>
      <c r="E89" s="97">
        <f t="shared" si="32"/>
        <v>-0.24484016865061223</v>
      </c>
      <c r="F89" s="249">
        <f>(COS('Coords-Trans'!$T$4)*((COS(-banglerad)*K89+SIN(-banglerad)*I89)*1000+'Coords-Trans'!$J$8-'Coords-Trans'!$J$10)+SIN('Coords-Trans'!$T$4)*((-SIN(-banglerad)*K89+COS(-banglerad)*I89)*1000+'Coords-Trans'!$K$8-'Coords-Trans'!$K$10))</f>
        <v>78392.464903496744</v>
      </c>
      <c r="G89" s="213">
        <f>(-SIN('Coords-Trans'!$T$4)*((COS(-banglerad)*K89+SIN(-banglerad)*I89)*1000+'Coords-Trans'!$J$8-'Coords-Trans'!$J$10)+COS('Coords-Trans'!$T$4)*((-SIN(-banglerad)*K89+COS(-banglerad)*I89)*1000+'Coords-Trans'!$K$8-'Coords-Trans'!$K$10))</f>
        <v>650.1945745614139</v>
      </c>
      <c r="H89" s="283">
        <f t="shared" si="34"/>
        <v>-422.47946124509252</v>
      </c>
      <c r="I89" s="363">
        <f t="shared" si="26"/>
        <v>-1.2144277829307555E-3</v>
      </c>
      <c r="J89" s="97">
        <f t="shared" si="27"/>
        <v>-0.4224794612450925</v>
      </c>
      <c r="K89" s="306">
        <f t="shared" si="28"/>
        <v>78.41952665284515</v>
      </c>
      <c r="L89" s="363">
        <f t="shared" si="41"/>
        <v>-1.2101545288522063E-3</v>
      </c>
      <c r="M89" s="97">
        <f t="shared" si="42"/>
        <v>-0.4224794612450925</v>
      </c>
      <c r="N89" s="306">
        <f t="shared" si="43"/>
        <v>78.420526643714751</v>
      </c>
      <c r="O89" s="98">
        <v>1E-3</v>
      </c>
      <c r="P89" s="475">
        <f t="shared" si="33"/>
        <v>78.424216856053334</v>
      </c>
      <c r="Q89" s="95"/>
      <c r="R89" s="99"/>
      <c r="S89" s="162"/>
      <c r="T89" s="162"/>
      <c r="U89" s="162"/>
      <c r="V89" s="162"/>
      <c r="W89" s="95"/>
      <c r="X89" s="96"/>
      <c r="Y89" s="96"/>
      <c r="Z89" s="99"/>
      <c r="AA89" s="430"/>
      <c r="AB89" s="99"/>
    </row>
    <row r="90" spans="1:28" ht="16" thickBot="1" x14ac:dyDescent="0.25">
      <c r="A90" s="85">
        <v>4</v>
      </c>
      <c r="B90" s="86" t="s">
        <v>87</v>
      </c>
      <c r="C90" s="86" t="s">
        <v>217</v>
      </c>
      <c r="D90" s="364">
        <v>0</v>
      </c>
      <c r="E90" s="87">
        <f t="shared" si="32"/>
        <v>-0.24484016865061223</v>
      </c>
      <c r="F90" s="250">
        <f>(COS('Coords-Trans'!$T$4)*((COS(-banglerad)*K90+SIN(-banglerad)*I90)*1000+'Coords-Trans'!$J$8-'Coords-Trans'!$J$10)+SIN('Coords-Trans'!$T$4)*((-SIN(-banglerad)*K90+COS(-banglerad)*I90)*1000+'Coords-Trans'!$K$8-'Coords-Trans'!$K$10))</f>
        <v>78393.464818999055</v>
      </c>
      <c r="G90" s="214">
        <f>(-SIN('Coords-Trans'!$T$4)*((COS(-banglerad)*K90+SIN(-banglerad)*I90)*1000+'Coords-Trans'!$J$8-'Coords-Trans'!$J$10)+COS('Coords-Trans'!$T$4)*((-SIN(-banglerad)*K90+COS(-banglerad)*I90)*1000+'Coords-Trans'!$K$8-'Coords-Trans'!$K$10))</f>
        <v>650.20757410860097</v>
      </c>
      <c r="H90" s="284">
        <f t="shared" si="34"/>
        <v>-422.47946124509252</v>
      </c>
      <c r="I90" s="364">
        <f t="shared" si="26"/>
        <v>-1.2101545288522063E-3</v>
      </c>
      <c r="J90" s="87">
        <f t="shared" si="27"/>
        <v>-0.4224794612450925</v>
      </c>
      <c r="K90" s="307">
        <f t="shared" si="28"/>
        <v>78.420526643714751</v>
      </c>
      <c r="L90" s="364">
        <f t="shared" si="41"/>
        <v>7.3363536282459747E-3</v>
      </c>
      <c r="M90" s="87">
        <f t="shared" si="42"/>
        <v>-0.4224794612450925</v>
      </c>
      <c r="N90" s="307">
        <f t="shared" si="43"/>
        <v>80.420508382930961</v>
      </c>
      <c r="O90" s="88">
        <v>2</v>
      </c>
      <c r="P90" s="476">
        <f t="shared" si="33"/>
        <v>80.424216856053334</v>
      </c>
      <c r="Q90" s="85" t="s">
        <v>33</v>
      </c>
      <c r="R90" s="89" t="s">
        <v>33</v>
      </c>
      <c r="S90" s="160">
        <v>114.66</v>
      </c>
      <c r="T90" s="160">
        <v>114.66</v>
      </c>
      <c r="U90" s="160">
        <f t="shared" ref="U90" si="46">V88</f>
        <v>111.28436510840044</v>
      </c>
      <c r="V90" s="160">
        <f t="shared" ref="V90" si="47">U90</f>
        <v>111.28436510840044</v>
      </c>
      <c r="W90" s="85">
        <v>2</v>
      </c>
      <c r="X90" s="86">
        <v>2</v>
      </c>
      <c r="Y90" s="86">
        <v>2</v>
      </c>
      <c r="Z90" s="89">
        <v>2</v>
      </c>
      <c r="AA90" s="431" t="s">
        <v>31</v>
      </c>
      <c r="AB90" s="89"/>
    </row>
    <row r="91" spans="1:28" ht="16" thickBot="1" x14ac:dyDescent="0.25">
      <c r="A91" s="95" t="s">
        <v>43</v>
      </c>
      <c r="B91" s="96"/>
      <c r="C91" s="96"/>
      <c r="D91" s="363">
        <v>0</v>
      </c>
      <c r="E91" s="97">
        <f t="shared" si="32"/>
        <v>-0.24484016865061223</v>
      </c>
      <c r="F91" s="249">
        <f>(COS('Coords-Trans'!$T$4)*((COS(-banglerad)*K91+SIN(-banglerad)*I91)*1000+'Coords-Trans'!$J$8-'Coords-Trans'!$J$10)+SIN('Coords-Trans'!$T$4)*((-SIN(-banglerad)*K91+COS(-banglerad)*I91)*1000+'Coords-Trans'!$K$8-'Coords-Trans'!$K$10))</f>
        <v>80393.295823632099</v>
      </c>
      <c r="G91" s="213">
        <f>(-SIN('Coords-Trans'!$T$4)*((COS(-banglerad)*K91+SIN(-banglerad)*I91)*1000+'Coords-Trans'!$J$8-'Coords-Trans'!$J$10)+COS('Coords-Trans'!$T$4)*((-SIN(-banglerad)*K91+COS(-banglerad)*I91)*1000+'Coords-Trans'!$K$8-'Coords-Trans'!$K$10))</f>
        <v>676.20666848422115</v>
      </c>
      <c r="H91" s="283">
        <f t="shared" si="34"/>
        <v>-422.47946124509252</v>
      </c>
      <c r="I91" s="363">
        <f t="shared" si="26"/>
        <v>7.3363536282459747E-3</v>
      </c>
      <c r="J91" s="97">
        <f t="shared" si="27"/>
        <v>-0.4224794612450925</v>
      </c>
      <c r="K91" s="306">
        <f t="shared" si="28"/>
        <v>80.420508382930961</v>
      </c>
      <c r="L91" s="363">
        <f t="shared" si="41"/>
        <v>7.3449001364030726E-3</v>
      </c>
      <c r="M91" s="97">
        <f t="shared" si="42"/>
        <v>-0.4224794612450925</v>
      </c>
      <c r="N91" s="306">
        <f t="shared" si="43"/>
        <v>80.422508364670179</v>
      </c>
      <c r="O91" s="98">
        <v>2E-3</v>
      </c>
      <c r="P91" s="475">
        <f t="shared" si="33"/>
        <v>80.42621685605333</v>
      </c>
      <c r="Q91" s="95"/>
      <c r="R91" s="99"/>
      <c r="S91" s="162"/>
      <c r="T91" s="162"/>
      <c r="U91" s="162"/>
      <c r="V91" s="162"/>
      <c r="W91" s="95"/>
      <c r="X91" s="96"/>
      <c r="Y91" s="96"/>
      <c r="Z91" s="99"/>
      <c r="AA91" s="430"/>
      <c r="AB91" s="99"/>
    </row>
    <row r="92" spans="1:28" x14ac:dyDescent="0.2">
      <c r="A92" s="90">
        <v>4</v>
      </c>
      <c r="B92" s="91" t="s">
        <v>88</v>
      </c>
      <c r="C92" s="91" t="s">
        <v>218</v>
      </c>
      <c r="D92" s="362">
        <v>0</v>
      </c>
      <c r="E92" s="92">
        <f t="shared" si="32"/>
        <v>-0.24484016865061223</v>
      </c>
      <c r="F92" s="248">
        <f>(COS('Coords-Trans'!$T$4)*((COS(-banglerad)*K92+SIN(-banglerad)*I92)*1000+'Coords-Trans'!$J$8-'Coords-Trans'!$J$10)+SIN('Coords-Trans'!$T$4)*((-SIN(-banglerad)*K92+COS(-banglerad)*I92)*1000+'Coords-Trans'!$K$8-'Coords-Trans'!$K$10))</f>
        <v>80395.295654636735</v>
      </c>
      <c r="G92" s="212">
        <f>(-SIN('Coords-Trans'!$T$4)*((COS(-banglerad)*K92+SIN(-banglerad)*I92)*1000+'Coords-Trans'!$J$8-'Coords-Trans'!$J$10)+COS('Coords-Trans'!$T$4)*((-SIN(-banglerad)*K92+COS(-banglerad)*I92)*1000+'Coords-Trans'!$K$8-'Coords-Trans'!$K$10))</f>
        <v>676.23266757860256</v>
      </c>
      <c r="H92" s="282">
        <f t="shared" si="34"/>
        <v>-422.47946124509252</v>
      </c>
      <c r="I92" s="362">
        <f t="shared" si="26"/>
        <v>7.3449001364030726E-3</v>
      </c>
      <c r="J92" s="92">
        <f t="shared" si="27"/>
        <v>-0.4224794612450925</v>
      </c>
      <c r="K92" s="305">
        <f t="shared" si="28"/>
        <v>80.422508364670179</v>
      </c>
      <c r="L92" s="362">
        <f t="shared" si="41"/>
        <v>1.5891408293501254E-2</v>
      </c>
      <c r="M92" s="92">
        <f t="shared" si="42"/>
        <v>-0.4224794612450925</v>
      </c>
      <c r="N92" s="305">
        <f t="shared" si="43"/>
        <v>82.422490103886389</v>
      </c>
      <c r="O92" s="93">
        <v>2</v>
      </c>
      <c r="P92" s="474">
        <f t="shared" si="33"/>
        <v>82.42621685605333</v>
      </c>
      <c r="Q92" s="90" t="s">
        <v>33</v>
      </c>
      <c r="R92" s="94" t="s">
        <v>33</v>
      </c>
      <c r="S92" s="161">
        <v>114.66</v>
      </c>
      <c r="T92" s="161">
        <v>114.66</v>
      </c>
      <c r="U92" s="161">
        <f t="shared" ref="U92" si="48">V90</f>
        <v>111.28436510840044</v>
      </c>
      <c r="V92" s="161">
        <f t="shared" ref="V92" si="49">U92</f>
        <v>111.28436510840044</v>
      </c>
      <c r="W92" s="90">
        <v>2</v>
      </c>
      <c r="X92" s="91">
        <v>2</v>
      </c>
      <c r="Y92" s="91">
        <v>2</v>
      </c>
      <c r="Z92" s="94">
        <v>2</v>
      </c>
      <c r="AA92" s="429" t="s">
        <v>31</v>
      </c>
      <c r="AB92" s="94"/>
    </row>
    <row r="93" spans="1:28" x14ac:dyDescent="0.2">
      <c r="A93" s="95" t="s">
        <v>43</v>
      </c>
      <c r="B93" s="96" t="s">
        <v>88</v>
      </c>
      <c r="C93" s="96"/>
      <c r="D93" s="363">
        <v>0</v>
      </c>
      <c r="E93" s="97">
        <f t="shared" si="32"/>
        <v>-0.24484016865061223</v>
      </c>
      <c r="F93" s="249">
        <f>(COS('Coords-Trans'!$T$4)*((COS(-banglerad)*K93+SIN(-banglerad)*I93)*1000+'Coords-Trans'!$J$8-'Coords-Trans'!$J$10)+SIN('Coords-Trans'!$T$4)*((-SIN(-banglerad)*K93+COS(-banglerad)*I93)*1000+'Coords-Trans'!$K$8-'Coords-Trans'!$K$10))</f>
        <v>82395.126659269794</v>
      </c>
      <c r="G93" s="213">
        <f>(-SIN('Coords-Trans'!$T$4)*((COS(-banglerad)*K93+SIN(-banglerad)*I93)*1000+'Coords-Trans'!$J$8-'Coords-Trans'!$J$10)+COS('Coords-Trans'!$T$4)*((-SIN(-banglerad)*K93+COS(-banglerad)*I93)*1000+'Coords-Trans'!$K$8-'Coords-Trans'!$K$10))</f>
        <v>702.23176195423002</v>
      </c>
      <c r="H93" s="283">
        <f t="shared" si="34"/>
        <v>-422.47946124509252</v>
      </c>
      <c r="I93" s="363">
        <f t="shared" si="26"/>
        <v>1.5891408293501254E-2</v>
      </c>
      <c r="J93" s="97">
        <f t="shared" si="27"/>
        <v>-0.4224794612450925</v>
      </c>
      <c r="K93" s="306">
        <f t="shared" si="28"/>
        <v>82.422490103886389</v>
      </c>
      <c r="L93" s="363">
        <f t="shared" si="41"/>
        <v>1.5895681547579803E-2</v>
      </c>
      <c r="M93" s="97">
        <f t="shared" si="42"/>
        <v>-0.4224794612450925</v>
      </c>
      <c r="N93" s="306">
        <f t="shared" si="43"/>
        <v>82.423490094755991</v>
      </c>
      <c r="O93" s="98">
        <v>1E-3</v>
      </c>
      <c r="P93" s="475">
        <f t="shared" si="33"/>
        <v>82.427216856053334</v>
      </c>
      <c r="Q93" s="95"/>
      <c r="R93" s="99"/>
      <c r="S93" s="162"/>
      <c r="T93" s="162"/>
      <c r="U93" s="162"/>
      <c r="V93" s="162"/>
      <c r="W93" s="95"/>
      <c r="X93" s="96"/>
      <c r="Y93" s="96"/>
      <c r="Z93" s="99"/>
      <c r="AA93" s="430"/>
      <c r="AB93" s="99"/>
    </row>
    <row r="94" spans="1:28" ht="16" thickBot="1" x14ac:dyDescent="0.25">
      <c r="A94" s="85">
        <v>4</v>
      </c>
      <c r="B94" s="86" t="s">
        <v>88</v>
      </c>
      <c r="C94" s="86" t="s">
        <v>219</v>
      </c>
      <c r="D94" s="364">
        <v>0</v>
      </c>
      <c r="E94" s="87">
        <f t="shared" si="32"/>
        <v>-0.24484016865061223</v>
      </c>
      <c r="F94" s="250">
        <f>(COS('Coords-Trans'!$T$4)*((COS(-banglerad)*K94+SIN(-banglerad)*I94)*1000+'Coords-Trans'!$J$8-'Coords-Trans'!$J$10)+SIN('Coords-Trans'!$T$4)*((-SIN(-banglerad)*K94+COS(-banglerad)*I94)*1000+'Coords-Trans'!$K$8-'Coords-Trans'!$K$10))</f>
        <v>82396.12657477209</v>
      </c>
      <c r="G94" s="214">
        <f>(-SIN('Coords-Trans'!$T$4)*((COS(-banglerad)*K94+SIN(-banglerad)*I94)*1000+'Coords-Trans'!$J$8-'Coords-Trans'!$J$10)+COS('Coords-Trans'!$T$4)*((-SIN(-banglerad)*K94+COS(-banglerad)*I94)*1000+'Coords-Trans'!$K$8-'Coords-Trans'!$K$10))</f>
        <v>702.24476150141709</v>
      </c>
      <c r="H94" s="284">
        <f t="shared" si="34"/>
        <v>-422.47946124509252</v>
      </c>
      <c r="I94" s="364">
        <f t="shared" si="26"/>
        <v>1.5895681547579803E-2</v>
      </c>
      <c r="J94" s="87">
        <f t="shared" si="27"/>
        <v>-0.4224794612450925</v>
      </c>
      <c r="K94" s="307">
        <f t="shared" si="28"/>
        <v>82.423490094755991</v>
      </c>
      <c r="L94" s="364">
        <f t="shared" si="41"/>
        <v>2.4442189704677986E-2</v>
      </c>
      <c r="M94" s="87">
        <f t="shared" si="42"/>
        <v>-0.4224794612450925</v>
      </c>
      <c r="N94" s="307">
        <f t="shared" si="43"/>
        <v>84.423471833972201</v>
      </c>
      <c r="O94" s="88">
        <v>2</v>
      </c>
      <c r="P94" s="476">
        <f t="shared" si="33"/>
        <v>84.427216856053334</v>
      </c>
      <c r="Q94" s="85" t="s">
        <v>33</v>
      </c>
      <c r="R94" s="89" t="s">
        <v>33</v>
      </c>
      <c r="S94" s="160">
        <v>114.66</v>
      </c>
      <c r="T94" s="160">
        <v>114.66</v>
      </c>
      <c r="U94" s="160">
        <f t="shared" ref="U94" si="50">V92</f>
        <v>111.28436510840044</v>
      </c>
      <c r="V94" s="160">
        <f t="shared" ref="V94" si="51">U94</f>
        <v>111.28436510840044</v>
      </c>
      <c r="W94" s="85">
        <v>2</v>
      </c>
      <c r="X94" s="86">
        <v>2</v>
      </c>
      <c r="Y94" s="86">
        <v>2</v>
      </c>
      <c r="Z94" s="89">
        <v>2</v>
      </c>
      <c r="AA94" s="431" t="s">
        <v>31</v>
      </c>
      <c r="AB94" s="89"/>
    </row>
    <row r="95" spans="1:28" ht="16" thickBot="1" x14ac:dyDescent="0.25">
      <c r="A95" s="95" t="s">
        <v>43</v>
      </c>
      <c r="B95" s="96"/>
      <c r="C95" s="96"/>
      <c r="D95" s="363">
        <v>0</v>
      </c>
      <c r="E95" s="97">
        <f t="shared" si="32"/>
        <v>-0.24484016865061223</v>
      </c>
      <c r="F95" s="249">
        <f>(COS('Coords-Trans'!$T$4)*((COS(-banglerad)*K95+SIN(-banglerad)*I95)*1000+'Coords-Trans'!$J$8-'Coords-Trans'!$J$10)+SIN('Coords-Trans'!$T$4)*((-SIN(-banglerad)*K95+COS(-banglerad)*I95)*1000+'Coords-Trans'!$K$8-'Coords-Trans'!$K$10))</f>
        <v>84395.957579405149</v>
      </c>
      <c r="G95" s="213">
        <f>(-SIN('Coords-Trans'!$T$4)*((COS(-banglerad)*K95+SIN(-banglerad)*I95)*1000+'Coords-Trans'!$J$8-'Coords-Trans'!$J$10)+COS('Coords-Trans'!$T$4)*((-SIN(-banglerad)*K95+COS(-banglerad)*I95)*1000+'Coords-Trans'!$K$8-'Coords-Trans'!$K$10))</f>
        <v>728.24385587703728</v>
      </c>
      <c r="H95" s="283">
        <f t="shared" si="34"/>
        <v>-422.47946124509252</v>
      </c>
      <c r="I95" s="363">
        <f t="shared" si="26"/>
        <v>2.4442189704677986E-2</v>
      </c>
      <c r="J95" s="97">
        <f t="shared" si="27"/>
        <v>-0.4224794612450925</v>
      </c>
      <c r="K95" s="306">
        <f t="shared" si="28"/>
        <v>84.423471833972201</v>
      </c>
      <c r="L95" s="363">
        <f t="shared" si="41"/>
        <v>2.4450736212835084E-2</v>
      </c>
      <c r="M95" s="97">
        <f t="shared" si="42"/>
        <v>-0.4224794612450925</v>
      </c>
      <c r="N95" s="306">
        <f t="shared" si="43"/>
        <v>84.425471815711418</v>
      </c>
      <c r="O95" s="98">
        <v>2E-3</v>
      </c>
      <c r="P95" s="475">
        <f t="shared" si="33"/>
        <v>84.42921685605333</v>
      </c>
      <c r="Q95" s="95"/>
      <c r="R95" s="99"/>
      <c r="S95" s="162"/>
      <c r="T95" s="162"/>
      <c r="U95" s="162"/>
      <c r="V95" s="162"/>
      <c r="W95" s="95"/>
      <c r="X95" s="96"/>
      <c r="Y95" s="96"/>
      <c r="Z95" s="99"/>
      <c r="AA95" s="430"/>
      <c r="AB95" s="99"/>
    </row>
    <row r="96" spans="1:28" x14ac:dyDescent="0.2">
      <c r="A96" s="90">
        <v>4</v>
      </c>
      <c r="B96" s="91" t="s">
        <v>89</v>
      </c>
      <c r="C96" s="91" t="s">
        <v>220</v>
      </c>
      <c r="D96" s="362">
        <v>0</v>
      </c>
      <c r="E96" s="92">
        <f t="shared" si="32"/>
        <v>-0.24484016865061223</v>
      </c>
      <c r="F96" s="248">
        <f>(COS('Coords-Trans'!$T$4)*((COS(-banglerad)*K96+SIN(-banglerad)*I96)*1000+'Coords-Trans'!$J$8-'Coords-Trans'!$J$10)+SIN('Coords-Trans'!$T$4)*((-SIN(-banglerad)*K96+COS(-banglerad)*I96)*1000+'Coords-Trans'!$K$8-'Coords-Trans'!$K$10))</f>
        <v>84397.957410409785</v>
      </c>
      <c r="G96" s="212">
        <f>(-SIN('Coords-Trans'!$T$4)*((COS(-banglerad)*K96+SIN(-banglerad)*I96)*1000+'Coords-Trans'!$J$8-'Coords-Trans'!$J$10)+COS('Coords-Trans'!$T$4)*((-SIN(-banglerad)*K96+COS(-banglerad)*I96)*1000+'Coords-Trans'!$K$8-'Coords-Trans'!$K$10))</f>
        <v>728.26985497141141</v>
      </c>
      <c r="H96" s="282">
        <f t="shared" si="34"/>
        <v>-422.47946124509252</v>
      </c>
      <c r="I96" s="362">
        <f t="shared" si="26"/>
        <v>2.4450736212835084E-2</v>
      </c>
      <c r="J96" s="92">
        <f t="shared" si="27"/>
        <v>-0.4224794612450925</v>
      </c>
      <c r="K96" s="305">
        <f t="shared" si="28"/>
        <v>84.425471815711418</v>
      </c>
      <c r="L96" s="362">
        <f t="shared" si="41"/>
        <v>3.2997244369933267E-2</v>
      </c>
      <c r="M96" s="92">
        <f t="shared" si="42"/>
        <v>-0.4224794612450925</v>
      </c>
      <c r="N96" s="305">
        <f t="shared" si="43"/>
        <v>86.425453554927628</v>
      </c>
      <c r="O96" s="93">
        <v>2</v>
      </c>
      <c r="P96" s="474">
        <f t="shared" si="33"/>
        <v>86.42921685605333</v>
      </c>
      <c r="Q96" s="90" t="s">
        <v>33</v>
      </c>
      <c r="R96" s="94" t="s">
        <v>33</v>
      </c>
      <c r="S96" s="161">
        <v>114.66</v>
      </c>
      <c r="T96" s="161">
        <v>114.66</v>
      </c>
      <c r="U96" s="161">
        <f t="shared" ref="U96:U104" si="52">V94</f>
        <v>111.28436510840044</v>
      </c>
      <c r="V96" s="161">
        <f t="shared" ref="V96:V104" si="53">U96</f>
        <v>111.28436510840044</v>
      </c>
      <c r="W96" s="90">
        <v>2</v>
      </c>
      <c r="X96" s="91">
        <v>2</v>
      </c>
      <c r="Y96" s="91">
        <v>2</v>
      </c>
      <c r="Z96" s="94">
        <v>2</v>
      </c>
      <c r="AA96" s="429" t="s">
        <v>31</v>
      </c>
      <c r="AB96" s="94"/>
    </row>
    <row r="97" spans="1:33" x14ac:dyDescent="0.2">
      <c r="A97" s="95" t="s">
        <v>43</v>
      </c>
      <c r="B97" s="96" t="s">
        <v>89</v>
      </c>
      <c r="C97" s="96"/>
      <c r="D97" s="363">
        <v>0</v>
      </c>
      <c r="E97" s="97">
        <f t="shared" si="32"/>
        <v>-0.24484016865061223</v>
      </c>
      <c r="F97" s="249">
        <f>(COS('Coords-Trans'!$T$4)*((COS(-banglerad)*K97+SIN(-banglerad)*I97)*1000+'Coords-Trans'!$J$8-'Coords-Trans'!$J$10)+SIN('Coords-Trans'!$T$4)*((-SIN(-banglerad)*K97+COS(-banglerad)*I97)*1000+'Coords-Trans'!$K$8-'Coords-Trans'!$K$10))</f>
        <v>86397.788415042829</v>
      </c>
      <c r="G97" s="213">
        <f>(-SIN('Coords-Trans'!$T$4)*((COS(-banglerad)*K97+SIN(-banglerad)*I97)*1000+'Coords-Trans'!$J$8-'Coords-Trans'!$J$10)+COS('Coords-Trans'!$T$4)*((-SIN(-banglerad)*K97+COS(-banglerad)*I97)*1000+'Coords-Trans'!$K$8-'Coords-Trans'!$K$10))</f>
        <v>754.26894934704615</v>
      </c>
      <c r="H97" s="283">
        <f t="shared" si="34"/>
        <v>-422.47946124509252</v>
      </c>
      <c r="I97" s="363">
        <f t="shared" si="26"/>
        <v>3.2997244369933267E-2</v>
      </c>
      <c r="J97" s="97">
        <f t="shared" si="27"/>
        <v>-0.4224794612450925</v>
      </c>
      <c r="K97" s="306">
        <f t="shared" si="28"/>
        <v>86.425453554927628</v>
      </c>
      <c r="L97" s="363">
        <f t="shared" si="41"/>
        <v>3.3001517624011815E-2</v>
      </c>
      <c r="M97" s="97">
        <f t="shared" si="42"/>
        <v>-0.4224794612450925</v>
      </c>
      <c r="N97" s="306">
        <f t="shared" si="43"/>
        <v>86.42645354579723</v>
      </c>
      <c r="O97" s="98">
        <v>1E-3</v>
      </c>
      <c r="P97" s="475">
        <f t="shared" si="33"/>
        <v>86.430216856053335</v>
      </c>
      <c r="Q97" s="95"/>
      <c r="R97" s="99"/>
      <c r="S97" s="162"/>
      <c r="T97" s="162"/>
      <c r="U97" s="162"/>
      <c r="V97" s="162"/>
      <c r="W97" s="95"/>
      <c r="X97" s="96"/>
      <c r="Y97" s="96"/>
      <c r="Z97" s="99"/>
      <c r="AA97" s="430"/>
      <c r="AB97" s="99"/>
    </row>
    <row r="98" spans="1:33" ht="16" thickBot="1" x14ac:dyDescent="0.25">
      <c r="A98" s="85">
        <v>4</v>
      </c>
      <c r="B98" s="86" t="s">
        <v>89</v>
      </c>
      <c r="C98" s="86" t="s">
        <v>221</v>
      </c>
      <c r="D98" s="364">
        <v>0</v>
      </c>
      <c r="E98" s="87">
        <f t="shared" si="32"/>
        <v>-0.24484016865061223</v>
      </c>
      <c r="F98" s="250">
        <f>(COS('Coords-Trans'!$T$4)*((COS(-banglerad)*K98+SIN(-banglerad)*I98)*1000+'Coords-Trans'!$J$8-'Coords-Trans'!$J$10)+SIN('Coords-Trans'!$T$4)*((-SIN(-banglerad)*K98+COS(-banglerad)*I98)*1000+'Coords-Trans'!$K$8-'Coords-Trans'!$K$10))</f>
        <v>86398.788330545125</v>
      </c>
      <c r="G98" s="214">
        <f>(-SIN('Coords-Trans'!$T$4)*((COS(-banglerad)*K98+SIN(-banglerad)*I98)*1000+'Coords-Trans'!$J$8-'Coords-Trans'!$J$10)+COS('Coords-Trans'!$T$4)*((-SIN(-banglerad)*K98+COS(-banglerad)*I98)*1000+'Coords-Trans'!$K$8-'Coords-Trans'!$K$10))</f>
        <v>754.28194889423321</v>
      </c>
      <c r="H98" s="284">
        <f t="shared" si="34"/>
        <v>-422.47946124509252</v>
      </c>
      <c r="I98" s="364">
        <f t="shared" si="26"/>
        <v>3.3001517624011815E-2</v>
      </c>
      <c r="J98" s="87">
        <f t="shared" si="27"/>
        <v>-0.4224794612450925</v>
      </c>
      <c r="K98" s="307">
        <f t="shared" si="28"/>
        <v>86.42645354579723</v>
      </c>
      <c r="L98" s="364">
        <f t="shared" si="41"/>
        <v>4.1548025781109998E-2</v>
      </c>
      <c r="M98" s="87">
        <f t="shared" si="42"/>
        <v>-0.4224794612450925</v>
      </c>
      <c r="N98" s="307">
        <f t="shared" si="43"/>
        <v>88.42643528501344</v>
      </c>
      <c r="O98" s="88">
        <v>2</v>
      </c>
      <c r="P98" s="476">
        <f t="shared" si="33"/>
        <v>88.430216856053335</v>
      </c>
      <c r="Q98" s="85" t="s">
        <v>33</v>
      </c>
      <c r="R98" s="89" t="s">
        <v>33</v>
      </c>
      <c r="S98" s="160">
        <v>114.66</v>
      </c>
      <c r="T98" s="160">
        <v>114.66</v>
      </c>
      <c r="U98" s="160">
        <f t="shared" si="52"/>
        <v>111.28436510840044</v>
      </c>
      <c r="V98" s="160">
        <f t="shared" si="53"/>
        <v>111.28436510840044</v>
      </c>
      <c r="W98" s="85">
        <v>2</v>
      </c>
      <c r="X98" s="86">
        <v>2</v>
      </c>
      <c r="Y98" s="86">
        <v>2</v>
      </c>
      <c r="Z98" s="89">
        <v>2</v>
      </c>
      <c r="AA98" s="431" t="s">
        <v>31</v>
      </c>
      <c r="AB98" s="89"/>
    </row>
    <row r="99" spans="1:33" ht="16" thickBot="1" x14ac:dyDescent="0.25">
      <c r="A99" s="95" t="s">
        <v>43</v>
      </c>
      <c r="B99" s="96"/>
      <c r="C99" s="96"/>
      <c r="D99" s="363">
        <v>0</v>
      </c>
      <c r="E99" s="97">
        <f t="shared" si="32"/>
        <v>-0.24484016865061223</v>
      </c>
      <c r="F99" s="249">
        <f>(COS('Coords-Trans'!$T$4)*((COS(-banglerad)*K99+SIN(-banglerad)*I99)*1000+'Coords-Trans'!$J$8-'Coords-Trans'!$J$10)+SIN('Coords-Trans'!$T$4)*((-SIN(-banglerad)*K99+COS(-banglerad)*I99)*1000+'Coords-Trans'!$K$8-'Coords-Trans'!$K$10))</f>
        <v>88398.619335178184</v>
      </c>
      <c r="G99" s="213">
        <f>(-SIN('Coords-Trans'!$T$4)*((COS(-banglerad)*K99+SIN(-banglerad)*I99)*1000+'Coords-Trans'!$J$8-'Coords-Trans'!$J$10)+COS('Coords-Trans'!$T$4)*((-SIN(-banglerad)*K99+COS(-banglerad)*I99)*1000+'Coords-Trans'!$K$8-'Coords-Trans'!$K$10))</f>
        <v>780.28104326986067</v>
      </c>
      <c r="H99" s="283">
        <f t="shared" si="34"/>
        <v>-422.47946124509252</v>
      </c>
      <c r="I99" s="363">
        <f t="shared" si="26"/>
        <v>4.1548025781109998E-2</v>
      </c>
      <c r="J99" s="97">
        <f t="shared" si="27"/>
        <v>-0.4224794612450925</v>
      </c>
      <c r="K99" s="306">
        <f t="shared" si="28"/>
        <v>88.42643528501344</v>
      </c>
      <c r="L99" s="363">
        <f t="shared" si="41"/>
        <v>4.1556572289267096E-2</v>
      </c>
      <c r="M99" s="97">
        <f t="shared" si="42"/>
        <v>-0.4224794612450925</v>
      </c>
      <c r="N99" s="306">
        <f t="shared" si="43"/>
        <v>88.428435266752658</v>
      </c>
      <c r="O99" s="98">
        <v>2E-3</v>
      </c>
      <c r="P99" s="475">
        <f t="shared" si="33"/>
        <v>88.43221685605333</v>
      </c>
      <c r="Q99" s="95"/>
      <c r="R99" s="99"/>
      <c r="S99" s="162"/>
      <c r="T99" s="162"/>
      <c r="U99" s="162"/>
      <c r="V99" s="162"/>
      <c r="W99" s="95"/>
      <c r="X99" s="96"/>
      <c r="Y99" s="96"/>
      <c r="Z99" s="99"/>
      <c r="AA99" s="430"/>
      <c r="AB99" s="99"/>
    </row>
    <row r="100" spans="1:33" x14ac:dyDescent="0.2">
      <c r="A100" s="90">
        <v>4</v>
      </c>
      <c r="B100" s="91" t="s">
        <v>90</v>
      </c>
      <c r="C100" s="91" t="s">
        <v>222</v>
      </c>
      <c r="D100" s="362">
        <v>0</v>
      </c>
      <c r="E100" s="92">
        <f t="shared" si="32"/>
        <v>-0.24484016865061223</v>
      </c>
      <c r="F100" s="248">
        <f>(COS('Coords-Trans'!$T$4)*((COS(-banglerad)*K100+SIN(-banglerad)*I100)*1000+'Coords-Trans'!$J$8-'Coords-Trans'!$J$10)+SIN('Coords-Trans'!$T$4)*((-SIN(-banglerad)*K100+COS(-banglerad)*I100)*1000+'Coords-Trans'!$K$8-'Coords-Trans'!$K$10))</f>
        <v>88400.61916618282</v>
      </c>
      <c r="G100" s="212">
        <f>(-SIN('Coords-Trans'!$T$4)*((COS(-banglerad)*K100+SIN(-banglerad)*I100)*1000+'Coords-Trans'!$J$8-'Coords-Trans'!$J$10)+COS('Coords-Trans'!$T$4)*((-SIN(-banglerad)*K100+COS(-banglerad)*I100)*1000+'Coords-Trans'!$K$8-'Coords-Trans'!$K$10))</f>
        <v>780.30704236422753</v>
      </c>
      <c r="H100" s="282">
        <f t="shared" si="34"/>
        <v>-422.47946124509252</v>
      </c>
      <c r="I100" s="362">
        <f t="shared" si="26"/>
        <v>4.1556572289267096E-2</v>
      </c>
      <c r="J100" s="92">
        <f t="shared" si="27"/>
        <v>-0.4224794612450925</v>
      </c>
      <c r="K100" s="305">
        <f t="shared" si="28"/>
        <v>88.428435266752658</v>
      </c>
      <c r="L100" s="362">
        <f t="shared" si="41"/>
        <v>5.0103080446365279E-2</v>
      </c>
      <c r="M100" s="92">
        <f t="shared" si="42"/>
        <v>-0.4224794612450925</v>
      </c>
      <c r="N100" s="305">
        <f t="shared" si="43"/>
        <v>90.428417005968868</v>
      </c>
      <c r="O100" s="93">
        <v>2</v>
      </c>
      <c r="P100" s="474">
        <f t="shared" si="33"/>
        <v>90.43221685605333</v>
      </c>
      <c r="Q100" s="90" t="s">
        <v>33</v>
      </c>
      <c r="R100" s="94" t="s">
        <v>33</v>
      </c>
      <c r="S100" s="161">
        <v>114.66</v>
      </c>
      <c r="T100" s="161">
        <v>114.66</v>
      </c>
      <c r="U100" s="161">
        <f t="shared" si="52"/>
        <v>111.28436510840044</v>
      </c>
      <c r="V100" s="161">
        <f t="shared" si="53"/>
        <v>111.28436510840044</v>
      </c>
      <c r="W100" s="90">
        <v>2</v>
      </c>
      <c r="X100" s="91">
        <v>2</v>
      </c>
      <c r="Y100" s="91">
        <v>2</v>
      </c>
      <c r="Z100" s="94">
        <v>2</v>
      </c>
      <c r="AA100" s="429" t="s">
        <v>31</v>
      </c>
      <c r="AB100" s="94"/>
    </row>
    <row r="101" spans="1:33" x14ac:dyDescent="0.2">
      <c r="A101" s="95" t="s">
        <v>43</v>
      </c>
      <c r="B101" s="96" t="s">
        <v>90</v>
      </c>
      <c r="C101" s="96"/>
      <c r="D101" s="363">
        <v>0</v>
      </c>
      <c r="E101" s="97">
        <f t="shared" si="32"/>
        <v>-0.24484016865061223</v>
      </c>
      <c r="F101" s="249">
        <f>(COS('Coords-Trans'!$T$4)*((COS(-banglerad)*K101+SIN(-banglerad)*I101)*1000+'Coords-Trans'!$J$8-'Coords-Trans'!$J$10)+SIN('Coords-Trans'!$T$4)*((-SIN(-banglerad)*K101+COS(-banglerad)*I101)*1000+'Coords-Trans'!$K$8-'Coords-Trans'!$K$10))</f>
        <v>90400.450170815864</v>
      </c>
      <c r="G101" s="213">
        <f>(-SIN('Coords-Trans'!$T$4)*((COS(-banglerad)*K101+SIN(-banglerad)*I101)*1000+'Coords-Trans'!$J$8-'Coords-Trans'!$J$10)+COS('Coords-Trans'!$T$4)*((-SIN(-banglerad)*K101+COS(-banglerad)*I101)*1000+'Coords-Trans'!$K$8-'Coords-Trans'!$K$10))</f>
        <v>806.30613673986227</v>
      </c>
      <c r="H101" s="283">
        <f t="shared" si="34"/>
        <v>-422.47946124509252</v>
      </c>
      <c r="I101" s="363">
        <f t="shared" si="26"/>
        <v>5.0103080446365279E-2</v>
      </c>
      <c r="J101" s="97">
        <f t="shared" si="27"/>
        <v>-0.4224794612450925</v>
      </c>
      <c r="K101" s="306">
        <f t="shared" si="28"/>
        <v>90.428417005968868</v>
      </c>
      <c r="L101" s="363">
        <f t="shared" si="41"/>
        <v>5.0107353700443828E-2</v>
      </c>
      <c r="M101" s="97">
        <f t="shared" si="42"/>
        <v>-0.4224794612450925</v>
      </c>
      <c r="N101" s="306">
        <f t="shared" si="43"/>
        <v>90.429416996838469</v>
      </c>
      <c r="O101" s="98">
        <v>1E-3</v>
      </c>
      <c r="P101" s="475">
        <f t="shared" si="33"/>
        <v>90.433216856053335</v>
      </c>
      <c r="Q101" s="95"/>
      <c r="R101" s="99"/>
      <c r="S101" s="162"/>
      <c r="T101" s="162"/>
      <c r="U101" s="162"/>
      <c r="V101" s="162"/>
      <c r="W101" s="95"/>
      <c r="X101" s="96"/>
      <c r="Y101" s="96"/>
      <c r="Z101" s="99"/>
      <c r="AA101" s="430"/>
      <c r="AB101" s="99"/>
    </row>
    <row r="102" spans="1:33" ht="16" thickBot="1" x14ac:dyDescent="0.25">
      <c r="A102" s="85">
        <v>4</v>
      </c>
      <c r="B102" s="86" t="s">
        <v>90</v>
      </c>
      <c r="C102" s="86" t="s">
        <v>223</v>
      </c>
      <c r="D102" s="364">
        <v>0</v>
      </c>
      <c r="E102" s="87">
        <f t="shared" si="32"/>
        <v>-0.24484016865061223</v>
      </c>
      <c r="F102" s="250">
        <f>(COS('Coords-Trans'!$T$4)*((COS(-banglerad)*K102+SIN(-banglerad)*I102)*1000+'Coords-Trans'!$J$8-'Coords-Trans'!$J$10)+SIN('Coords-Trans'!$T$4)*((-SIN(-banglerad)*K102+COS(-banglerad)*I102)*1000+'Coords-Trans'!$K$8-'Coords-Trans'!$K$10))</f>
        <v>90401.45008631816</v>
      </c>
      <c r="G102" s="214">
        <f>(-SIN('Coords-Trans'!$T$4)*((COS(-banglerad)*K102+SIN(-banglerad)*I102)*1000+'Coords-Trans'!$J$8-'Coords-Trans'!$J$10)+COS('Coords-Trans'!$T$4)*((-SIN(-banglerad)*K102+COS(-banglerad)*I102)*1000+'Coords-Trans'!$K$8-'Coords-Trans'!$K$10))</f>
        <v>806.31913628704206</v>
      </c>
      <c r="H102" s="284">
        <f t="shared" si="34"/>
        <v>-422.47946124509252</v>
      </c>
      <c r="I102" s="364">
        <f t="shared" si="26"/>
        <v>5.0107353700443828E-2</v>
      </c>
      <c r="J102" s="87">
        <f t="shared" si="27"/>
        <v>-0.4224794612450925</v>
      </c>
      <c r="K102" s="307">
        <f t="shared" si="28"/>
        <v>90.429416996838469</v>
      </c>
      <c r="L102" s="364">
        <f t="shared" si="41"/>
        <v>5.8653861857542011E-2</v>
      </c>
      <c r="M102" s="87">
        <f t="shared" si="42"/>
        <v>-0.4224794612450925</v>
      </c>
      <c r="N102" s="307">
        <f t="shared" si="43"/>
        <v>92.429398736054679</v>
      </c>
      <c r="O102" s="88">
        <v>2</v>
      </c>
      <c r="P102" s="476">
        <f t="shared" si="33"/>
        <v>92.433216856053335</v>
      </c>
      <c r="Q102" s="85" t="s">
        <v>33</v>
      </c>
      <c r="R102" s="89" t="s">
        <v>33</v>
      </c>
      <c r="S102" s="160">
        <v>114.66</v>
      </c>
      <c r="T102" s="160">
        <v>114.66</v>
      </c>
      <c r="U102" s="160">
        <f t="shared" si="52"/>
        <v>111.28436510840044</v>
      </c>
      <c r="V102" s="160">
        <f t="shared" si="53"/>
        <v>111.28436510840044</v>
      </c>
      <c r="W102" s="85">
        <v>2</v>
      </c>
      <c r="X102" s="86">
        <v>2</v>
      </c>
      <c r="Y102" s="86">
        <v>2</v>
      </c>
      <c r="Z102" s="89">
        <v>2</v>
      </c>
      <c r="AA102" s="431" t="s">
        <v>31</v>
      </c>
      <c r="AB102" s="89"/>
    </row>
    <row r="103" spans="1:33" ht="16" thickBot="1" x14ac:dyDescent="0.25">
      <c r="A103" s="95" t="s">
        <v>43</v>
      </c>
      <c r="B103" s="96"/>
      <c r="C103" s="96"/>
      <c r="D103" s="363">
        <v>0</v>
      </c>
      <c r="E103" s="97">
        <f t="shared" si="32"/>
        <v>-0.24484016865061223</v>
      </c>
      <c r="F103" s="249">
        <f>(COS('Coords-Trans'!$T$4)*((COS(-banglerad)*K103+SIN(-banglerad)*I103)*1000+'Coords-Trans'!$J$8-'Coords-Trans'!$J$10)+SIN('Coords-Trans'!$T$4)*((-SIN(-banglerad)*K103+COS(-banglerad)*I103)*1000+'Coords-Trans'!$K$8-'Coords-Trans'!$K$10))</f>
        <v>92401.281090951219</v>
      </c>
      <c r="G103" s="213">
        <f>(-SIN('Coords-Trans'!$T$4)*((COS(-banglerad)*K103+SIN(-banglerad)*I103)*1000+'Coords-Trans'!$J$8-'Coords-Trans'!$J$10)+COS('Coords-Trans'!$T$4)*((-SIN(-banglerad)*K103+COS(-banglerad)*I103)*1000+'Coords-Trans'!$K$8-'Coords-Trans'!$K$10))</f>
        <v>832.31823066266952</v>
      </c>
      <c r="H103" s="283">
        <f t="shared" si="34"/>
        <v>-422.47946124509252</v>
      </c>
      <c r="I103" s="363">
        <f t="shared" si="26"/>
        <v>5.8653861857542011E-2</v>
      </c>
      <c r="J103" s="97">
        <f t="shared" si="27"/>
        <v>-0.4224794612450925</v>
      </c>
      <c r="K103" s="306">
        <f t="shared" si="28"/>
        <v>92.429398736054679</v>
      </c>
      <c r="L103" s="363">
        <f t="shared" si="41"/>
        <v>5.8662408365699109E-2</v>
      </c>
      <c r="M103" s="97">
        <f t="shared" si="42"/>
        <v>-0.4224794612450925</v>
      </c>
      <c r="N103" s="306">
        <f t="shared" si="43"/>
        <v>92.431398717793897</v>
      </c>
      <c r="O103" s="98">
        <v>2E-3</v>
      </c>
      <c r="P103" s="475">
        <f t="shared" si="33"/>
        <v>92.43521685605333</v>
      </c>
      <c r="Q103" s="95"/>
      <c r="R103" s="99"/>
      <c r="S103" s="162"/>
      <c r="T103" s="162"/>
      <c r="U103" s="162"/>
      <c r="V103" s="162"/>
      <c r="W103" s="95"/>
      <c r="X103" s="96"/>
      <c r="Y103" s="96"/>
      <c r="Z103" s="99"/>
      <c r="AA103" s="430"/>
      <c r="AB103" s="99"/>
    </row>
    <row r="104" spans="1:33" x14ac:dyDescent="0.2">
      <c r="A104" s="90">
        <v>4</v>
      </c>
      <c r="B104" s="91" t="s">
        <v>91</v>
      </c>
      <c r="C104" s="91" t="s">
        <v>267</v>
      </c>
      <c r="D104" s="362">
        <v>0</v>
      </c>
      <c r="E104" s="92">
        <f t="shared" si="32"/>
        <v>-0.24484016865061223</v>
      </c>
      <c r="F104" s="248">
        <f>(COS('Coords-Trans'!$T$4)*((COS(-banglerad)*K104+SIN(-banglerad)*I104)*1000+'Coords-Trans'!$J$8-'Coords-Trans'!$J$10)+SIN('Coords-Trans'!$T$4)*((-SIN(-banglerad)*K104+COS(-banglerad)*I104)*1000+'Coords-Trans'!$K$8-'Coords-Trans'!$K$10))</f>
        <v>92403.280921955855</v>
      </c>
      <c r="G104" s="212">
        <f>(-SIN('Coords-Trans'!$T$4)*((COS(-banglerad)*K104+SIN(-banglerad)*I104)*1000+'Coords-Trans'!$J$8-'Coords-Trans'!$J$10)+COS('Coords-Trans'!$T$4)*((-SIN(-banglerad)*K104+COS(-banglerad)*I104)*1000+'Coords-Trans'!$K$8-'Coords-Trans'!$K$10))</f>
        <v>832.34422975705093</v>
      </c>
      <c r="H104" s="282">
        <f t="shared" si="34"/>
        <v>-422.47946124509252</v>
      </c>
      <c r="I104" s="362">
        <f t="shared" si="26"/>
        <v>5.8662408365699109E-2</v>
      </c>
      <c r="J104" s="92">
        <f t="shared" si="27"/>
        <v>-0.4224794612450925</v>
      </c>
      <c r="K104" s="305">
        <f t="shared" si="28"/>
        <v>92.431398717793897</v>
      </c>
      <c r="L104" s="362">
        <f t="shared" si="41"/>
        <v>6.3209150705275344E-2</v>
      </c>
      <c r="M104" s="92">
        <f t="shared" si="42"/>
        <v>-0.4224794612450925</v>
      </c>
      <c r="N104" s="305">
        <f t="shared" si="43"/>
        <v>93.495389003056928</v>
      </c>
      <c r="O104" s="93">
        <v>1.0640000000000001</v>
      </c>
      <c r="P104" s="474">
        <f t="shared" si="33"/>
        <v>93.499216856053323</v>
      </c>
      <c r="Q104" s="90" t="s">
        <v>33</v>
      </c>
      <c r="R104" s="94" t="s">
        <v>33</v>
      </c>
      <c r="S104" s="161">
        <v>114.66</v>
      </c>
      <c r="T104" s="161">
        <v>114.66</v>
      </c>
      <c r="U104" s="161">
        <f t="shared" si="52"/>
        <v>111.28436510840044</v>
      </c>
      <c r="V104" s="161">
        <f t="shared" si="53"/>
        <v>111.28436510840044</v>
      </c>
      <c r="W104" s="90">
        <v>2</v>
      </c>
      <c r="X104" s="91">
        <v>2</v>
      </c>
      <c r="Y104" s="91">
        <v>2</v>
      </c>
      <c r="Z104" s="94">
        <v>2</v>
      </c>
      <c r="AA104" s="429" t="s">
        <v>31</v>
      </c>
      <c r="AB104" s="94" t="s">
        <v>133</v>
      </c>
    </row>
    <row r="105" spans="1:33" x14ac:dyDescent="0.2">
      <c r="A105" s="180">
        <v>5</v>
      </c>
      <c r="B105" s="176" t="s">
        <v>91</v>
      </c>
      <c r="C105" s="176" t="s">
        <v>268</v>
      </c>
      <c r="D105" s="365">
        <v>0</v>
      </c>
      <c r="E105" s="177">
        <f t="shared" si="32"/>
        <v>-0.24484016865061223</v>
      </c>
      <c r="F105" s="251">
        <f>(COS('Coords-Trans'!$T$4)*((COS(-banglerad)*K105+SIN(-banglerad)*I105)*1000+'Coords-Trans'!$J$8-'Coords-Trans'!$J$10)+SIN('Coords-Trans'!$T$4)*((-SIN(-banglerad)*K105+COS(-banglerad)*I105)*1000+'Coords-Trans'!$K$8-'Coords-Trans'!$K$10))</f>
        <v>93467.191016420635</v>
      </c>
      <c r="G105" s="215">
        <f>(-SIN('Coords-Trans'!$T$4)*((COS(-banglerad)*K105+SIN(-banglerad)*I105)*1000+'Coords-Trans'!$J$8-'Coords-Trans'!$J$10)+COS('Coords-Trans'!$T$4)*((-SIN(-banglerad)*K105+COS(-banglerad)*I105)*1000+'Coords-Trans'!$K$8-'Coords-Trans'!$K$10))</f>
        <v>846.17574796487315</v>
      </c>
      <c r="H105" s="285">
        <f t="shared" si="34"/>
        <v>-422.47946124509252</v>
      </c>
      <c r="I105" s="365">
        <f t="shared" si="26"/>
        <v>6.3209150705275344E-2</v>
      </c>
      <c r="J105" s="177">
        <f t="shared" si="27"/>
        <v>-0.4224794612450925</v>
      </c>
      <c r="K105" s="308">
        <f t="shared" si="28"/>
        <v>93.495389003056928</v>
      </c>
      <c r="L105" s="365">
        <f t="shared" si="41"/>
        <v>6.7208916522797285E-2</v>
      </c>
      <c r="M105" s="177">
        <f t="shared" si="42"/>
        <v>-0.4224794612450925</v>
      </c>
      <c r="N105" s="308">
        <f t="shared" si="43"/>
        <v>94.431380457010121</v>
      </c>
      <c r="O105" s="178">
        <f>2-O104</f>
        <v>0.93599999999999994</v>
      </c>
      <c r="P105" s="477">
        <f t="shared" si="33"/>
        <v>94.43521685605333</v>
      </c>
      <c r="Q105" s="180" t="s">
        <v>33</v>
      </c>
      <c r="R105" s="181" t="s">
        <v>33</v>
      </c>
      <c r="S105" s="179">
        <v>114.66</v>
      </c>
      <c r="T105" s="179">
        <v>114.66</v>
      </c>
      <c r="U105" s="179">
        <f>1000*SQRT((1-(K105-$K$105-$AF$114)^2/$AD$114/$AD$114)*$AE$114*$AE$114)+$AG$114</f>
        <v>111.27810161932132</v>
      </c>
      <c r="V105" s="179">
        <f>1000*SQRT((1-(N105-$K$105-$AF$114)^2/$AD$114/$AD$114)*$AE$114*$AE$114)+$AG$114</f>
        <v>109.16527037898155</v>
      </c>
      <c r="W105" s="180">
        <v>2.5</v>
      </c>
      <c r="X105" s="176">
        <v>2.5</v>
      </c>
      <c r="Y105" s="176">
        <v>2.5</v>
      </c>
      <c r="Z105" s="181">
        <v>2.5</v>
      </c>
      <c r="AA105" s="432"/>
      <c r="AB105" s="181" t="s">
        <v>82</v>
      </c>
    </row>
    <row r="106" spans="1:33" x14ac:dyDescent="0.2">
      <c r="A106" s="105" t="s">
        <v>43</v>
      </c>
      <c r="B106" s="106" t="s">
        <v>91</v>
      </c>
      <c r="C106" s="106"/>
      <c r="D106" s="366">
        <v>0</v>
      </c>
      <c r="E106" s="107">
        <f t="shared" si="32"/>
        <v>-0.24484016865061223</v>
      </c>
      <c r="F106" s="252">
        <f>(COS('Coords-Trans'!$T$4)*((COS(-banglerad)*K106+SIN(-banglerad)*I106)*1000+'Coords-Trans'!$J$8-'Coords-Trans'!$J$10)+SIN('Coords-Trans'!$T$4)*((-SIN(-banglerad)*K106+COS(-banglerad)*I106)*1000+'Coords-Trans'!$K$8-'Coords-Trans'!$K$10))</f>
        <v>94403.111926588928</v>
      </c>
      <c r="G106" s="216">
        <f>(-SIN('Coords-Trans'!$T$4)*((COS(-banglerad)*K106+SIN(-banglerad)*I106)*1000+'Coords-Trans'!$J$8-'Coords-Trans'!$J$10)+COS('Coords-Trans'!$T$4)*((-SIN(-banglerad)*K106+COS(-banglerad)*I106)*1000+'Coords-Trans'!$K$8-'Coords-Trans'!$K$10))</f>
        <v>858.34332413267111</v>
      </c>
      <c r="H106" s="286">
        <f t="shared" si="34"/>
        <v>-422.47946124509252</v>
      </c>
      <c r="I106" s="366">
        <f t="shared" si="26"/>
        <v>6.7208916522797285E-2</v>
      </c>
      <c r="J106" s="107">
        <f t="shared" si="27"/>
        <v>-0.4224794612450925</v>
      </c>
      <c r="K106" s="309">
        <f t="shared" si="28"/>
        <v>94.431380457010121</v>
      </c>
      <c r="L106" s="366">
        <f t="shared" si="41"/>
        <v>6.7213189776875834E-2</v>
      </c>
      <c r="M106" s="107">
        <f t="shared" si="42"/>
        <v>-0.4224794612450925</v>
      </c>
      <c r="N106" s="309">
        <f t="shared" si="43"/>
        <v>94.432380447879723</v>
      </c>
      <c r="O106" s="108">
        <v>1E-3</v>
      </c>
      <c r="P106" s="478">
        <f t="shared" si="33"/>
        <v>94.436216856053335</v>
      </c>
      <c r="Q106" s="105"/>
      <c r="R106" s="109"/>
      <c r="S106" s="164"/>
      <c r="T106" s="164"/>
      <c r="U106" s="164"/>
      <c r="V106" s="164"/>
      <c r="W106" s="105"/>
      <c r="X106" s="106"/>
      <c r="Y106" s="106"/>
      <c r="Z106" s="109"/>
      <c r="AA106" s="433"/>
      <c r="AB106" s="109" t="s">
        <v>187</v>
      </c>
    </row>
    <row r="107" spans="1:33" ht="16" thickBot="1" x14ac:dyDescent="0.25">
      <c r="A107" s="110">
        <v>5</v>
      </c>
      <c r="B107" s="111" t="s">
        <v>91</v>
      </c>
      <c r="C107" s="111" t="s">
        <v>224</v>
      </c>
      <c r="D107" s="367">
        <v>0</v>
      </c>
      <c r="E107" s="112">
        <f t="shared" si="32"/>
        <v>-0.24484016865061223</v>
      </c>
      <c r="F107" s="253">
        <f>(COS('Coords-Trans'!$T$4)*((COS(-banglerad)*K107+SIN(-banglerad)*I107)*1000+'Coords-Trans'!$J$8-'Coords-Trans'!$J$10)+SIN('Coords-Trans'!$T$4)*((-SIN(-banglerad)*K107+COS(-banglerad)*I107)*1000+'Coords-Trans'!$K$8-'Coords-Trans'!$K$10))</f>
        <v>94404.111842091224</v>
      </c>
      <c r="G107" s="217">
        <f>(-SIN('Coords-Trans'!$T$4)*((COS(-banglerad)*K107+SIN(-banglerad)*I107)*1000+'Coords-Trans'!$J$8-'Coords-Trans'!$J$10)+COS('Coords-Trans'!$T$4)*((-SIN(-banglerad)*K107+COS(-banglerad)*I107)*1000+'Coords-Trans'!$K$8-'Coords-Trans'!$K$10))</f>
        <v>858.35632367985818</v>
      </c>
      <c r="H107" s="287">
        <f t="shared" si="34"/>
        <v>-422.47946124509252</v>
      </c>
      <c r="I107" s="367">
        <f t="shared" si="26"/>
        <v>6.7213189776875834E-2</v>
      </c>
      <c r="J107" s="112">
        <f t="shared" si="27"/>
        <v>-0.4224794612450925</v>
      </c>
      <c r="K107" s="310">
        <f t="shared" si="28"/>
        <v>94.432380447879723</v>
      </c>
      <c r="L107" s="367">
        <f t="shared" si="41"/>
        <v>7.575969793397401E-2</v>
      </c>
      <c r="M107" s="112">
        <f t="shared" si="42"/>
        <v>-0.4224794612450925</v>
      </c>
      <c r="N107" s="310">
        <f t="shared" si="43"/>
        <v>96.432362187095933</v>
      </c>
      <c r="O107" s="113">
        <v>2</v>
      </c>
      <c r="P107" s="479">
        <f t="shared" si="33"/>
        <v>96.436216856053335</v>
      </c>
      <c r="Q107" s="110" t="s">
        <v>33</v>
      </c>
      <c r="R107" s="114" t="s">
        <v>33</v>
      </c>
      <c r="S107" s="165">
        <v>114.66</v>
      </c>
      <c r="T107" s="165">
        <v>114.66</v>
      </c>
      <c r="U107" s="165">
        <f>1000*SQRT((1-(K107-$K$105-$AF$114)^2/$AD$114/$AD$114)*$AE$114*$AE$114)+$AG$114</f>
        <v>109.16293524858749</v>
      </c>
      <c r="V107" s="165">
        <f>1000*SQRT((1-(N107-$K$105-$AF$114)^2/$AD$114/$AD$114)*$AE$114*$AE$114)+$AG$114</f>
        <v>104.13794290884805</v>
      </c>
      <c r="W107" s="110">
        <v>2.5</v>
      </c>
      <c r="X107" s="111">
        <v>2.5</v>
      </c>
      <c r="Y107" s="111">
        <v>2.5</v>
      </c>
      <c r="Z107" s="114">
        <v>2.5</v>
      </c>
      <c r="AA107" s="434" t="s">
        <v>31</v>
      </c>
      <c r="AB107" s="114"/>
    </row>
    <row r="108" spans="1:33" ht="16" thickBot="1" x14ac:dyDescent="0.25">
      <c r="A108" s="105" t="s">
        <v>43</v>
      </c>
      <c r="B108" s="106"/>
      <c r="C108" s="106"/>
      <c r="D108" s="366">
        <v>0</v>
      </c>
      <c r="E108" s="107">
        <f t="shared" si="32"/>
        <v>-0.24484016865061223</v>
      </c>
      <c r="F108" s="252">
        <f>(COS('Coords-Trans'!$T$4)*((COS(-banglerad)*K108+SIN(-banglerad)*I108)*1000+'Coords-Trans'!$J$8-'Coords-Trans'!$J$10)+SIN('Coords-Trans'!$T$4)*((-SIN(-banglerad)*K108+COS(-banglerad)*I108)*1000+'Coords-Trans'!$K$8-'Coords-Trans'!$K$10))</f>
        <v>96403.942846724269</v>
      </c>
      <c r="G108" s="216">
        <f>(-SIN('Coords-Trans'!$T$4)*((COS(-banglerad)*K108+SIN(-banglerad)*I108)*1000+'Coords-Trans'!$J$8-'Coords-Trans'!$J$10)+COS('Coords-Trans'!$T$4)*((-SIN(-banglerad)*K108+COS(-banglerad)*I108)*1000+'Coords-Trans'!$K$8-'Coords-Trans'!$K$10))</f>
        <v>884.35541805548564</v>
      </c>
      <c r="H108" s="286">
        <f t="shared" si="34"/>
        <v>-422.47946124509252</v>
      </c>
      <c r="I108" s="366">
        <f t="shared" si="26"/>
        <v>7.575969793397401E-2</v>
      </c>
      <c r="J108" s="107">
        <f t="shared" si="27"/>
        <v>-0.4224794612450925</v>
      </c>
      <c r="K108" s="309">
        <f t="shared" si="28"/>
        <v>96.432362187095933</v>
      </c>
      <c r="L108" s="366">
        <f t="shared" si="41"/>
        <v>7.5768244442131108E-2</v>
      </c>
      <c r="M108" s="107">
        <f t="shared" si="42"/>
        <v>-0.4224794612450925</v>
      </c>
      <c r="N108" s="309">
        <f t="shared" si="43"/>
        <v>96.43436216883515</v>
      </c>
      <c r="O108" s="108">
        <v>2E-3</v>
      </c>
      <c r="P108" s="478">
        <f t="shared" si="33"/>
        <v>96.43821685605333</v>
      </c>
      <c r="Q108" s="105"/>
      <c r="R108" s="109"/>
      <c r="S108" s="164"/>
      <c r="T108" s="164"/>
      <c r="U108" s="164"/>
      <c r="V108" s="164"/>
      <c r="W108" s="105"/>
      <c r="X108" s="106"/>
      <c r="Y108" s="106"/>
      <c r="Z108" s="109"/>
      <c r="AA108" s="433"/>
      <c r="AB108" s="109"/>
      <c r="AC108" s="12"/>
      <c r="AD108" s="12" t="s">
        <v>38</v>
      </c>
      <c r="AE108" s="12"/>
      <c r="AF108" s="12"/>
      <c r="AG108" s="13"/>
    </row>
    <row r="109" spans="1:33" x14ac:dyDescent="0.2">
      <c r="A109" s="100">
        <v>5</v>
      </c>
      <c r="B109" s="101" t="s">
        <v>92</v>
      </c>
      <c r="C109" s="101" t="s">
        <v>225</v>
      </c>
      <c r="D109" s="368">
        <v>0</v>
      </c>
      <c r="E109" s="102">
        <f t="shared" si="32"/>
        <v>-0.24484016865061223</v>
      </c>
      <c r="F109" s="254">
        <f>(COS('Coords-Trans'!$T$4)*((COS(-banglerad)*K109+SIN(-banglerad)*I109)*1000+'Coords-Trans'!$J$8-'Coords-Trans'!$J$10)+SIN('Coords-Trans'!$T$4)*((-SIN(-banglerad)*K109+COS(-banglerad)*I109)*1000+'Coords-Trans'!$K$8-'Coords-Trans'!$K$10))</f>
        <v>96405.942677728919</v>
      </c>
      <c r="G109" s="218">
        <f>(-SIN('Coords-Trans'!$T$4)*((COS(-banglerad)*K109+SIN(-banglerad)*I109)*1000+'Coords-Trans'!$J$8-'Coords-Trans'!$J$10)+COS('Coords-Trans'!$T$4)*((-SIN(-banglerad)*K109+COS(-banglerad)*I109)*1000+'Coords-Trans'!$K$8-'Coords-Trans'!$K$10))</f>
        <v>884.38141714986705</v>
      </c>
      <c r="H109" s="288">
        <f t="shared" si="34"/>
        <v>-422.47946124509252</v>
      </c>
      <c r="I109" s="368">
        <f t="shared" si="26"/>
        <v>7.5768244442131108E-2</v>
      </c>
      <c r="J109" s="102">
        <f t="shared" si="27"/>
        <v>-0.4224794612450925</v>
      </c>
      <c r="K109" s="311">
        <f t="shared" si="28"/>
        <v>96.43436216883515</v>
      </c>
      <c r="L109" s="368">
        <f t="shared" si="41"/>
        <v>8.4314752599229284E-2</v>
      </c>
      <c r="M109" s="102">
        <f t="shared" si="42"/>
        <v>-0.4224794612450925</v>
      </c>
      <c r="N109" s="311">
        <f t="shared" si="43"/>
        <v>98.43434390805136</v>
      </c>
      <c r="O109" s="103">
        <v>2</v>
      </c>
      <c r="P109" s="480">
        <f t="shared" si="33"/>
        <v>98.43821685605333</v>
      </c>
      <c r="Q109" s="100" t="s">
        <v>33</v>
      </c>
      <c r="R109" s="104" t="s">
        <v>33</v>
      </c>
      <c r="S109" s="163">
        <v>114.66</v>
      </c>
      <c r="T109" s="163">
        <v>114.66</v>
      </c>
      <c r="U109" s="163">
        <f>1000*SQRT((1-(K109-$K$105-$AF$114)^2/$AD$114/$AD$114)*$AE$114*$AE$114)+$AG$114</f>
        <v>104.13254585530314</v>
      </c>
      <c r="V109" s="163">
        <f>1000*SQRT((1-(N109-$K$105-$AF$114)^2/$AD$114/$AD$114)*$AE$114*$AE$114)+$AG$114</f>
        <v>98.322573327508607</v>
      </c>
      <c r="W109" s="100">
        <v>2.5</v>
      </c>
      <c r="X109" s="101">
        <v>2.5</v>
      </c>
      <c r="Y109" s="101">
        <v>2.5</v>
      </c>
      <c r="Z109" s="104">
        <v>2.5</v>
      </c>
      <c r="AA109" s="435" t="s">
        <v>31</v>
      </c>
      <c r="AB109" s="104"/>
      <c r="AC109" s="15"/>
      <c r="AD109" s="15"/>
      <c r="AE109" s="15"/>
      <c r="AF109" s="15"/>
      <c r="AG109" s="16"/>
    </row>
    <row r="110" spans="1:33" x14ac:dyDescent="0.2">
      <c r="A110" s="105" t="s">
        <v>43</v>
      </c>
      <c r="B110" s="106" t="s">
        <v>92</v>
      </c>
      <c r="C110" s="106"/>
      <c r="D110" s="366">
        <v>0</v>
      </c>
      <c r="E110" s="107">
        <f t="shared" si="32"/>
        <v>-0.24484016865061223</v>
      </c>
      <c r="F110" s="252">
        <f>(COS('Coords-Trans'!$T$4)*((COS(-banglerad)*K110+SIN(-banglerad)*I110)*1000+'Coords-Trans'!$J$8-'Coords-Trans'!$J$10)+SIN('Coords-Trans'!$T$4)*((-SIN(-banglerad)*K110+COS(-banglerad)*I110)*1000+'Coords-Trans'!$K$8-'Coords-Trans'!$K$10))</f>
        <v>98405.773682361949</v>
      </c>
      <c r="G110" s="216">
        <f>(-SIN('Coords-Trans'!$T$4)*((COS(-banglerad)*K110+SIN(-banglerad)*I110)*1000+'Coords-Trans'!$J$8-'Coords-Trans'!$J$10)+COS('Coords-Trans'!$T$4)*((-SIN(-banglerad)*K110+COS(-banglerad)*I110)*1000+'Coords-Trans'!$K$8-'Coords-Trans'!$K$10))</f>
        <v>910.38051152547996</v>
      </c>
      <c r="H110" s="286">
        <f t="shared" si="34"/>
        <v>-422.47946124509252</v>
      </c>
      <c r="I110" s="366">
        <f t="shared" si="26"/>
        <v>8.4314752599229284E-2</v>
      </c>
      <c r="J110" s="107">
        <f t="shared" si="27"/>
        <v>-0.4224794612450925</v>
      </c>
      <c r="K110" s="309">
        <f t="shared" si="28"/>
        <v>98.43434390805136</v>
      </c>
      <c r="L110" s="366">
        <f t="shared" si="41"/>
        <v>8.4319025853307833E-2</v>
      </c>
      <c r="M110" s="107">
        <f t="shared" si="42"/>
        <v>-0.4224794612450925</v>
      </c>
      <c r="N110" s="309">
        <f t="shared" si="43"/>
        <v>98.435343898920962</v>
      </c>
      <c r="O110" s="108">
        <v>1E-3</v>
      </c>
      <c r="P110" s="478">
        <f t="shared" si="33"/>
        <v>98.439216856053335</v>
      </c>
      <c r="Q110" s="105"/>
      <c r="R110" s="109"/>
      <c r="S110" s="164"/>
      <c r="T110" s="164"/>
      <c r="U110" s="164"/>
      <c r="V110" s="164"/>
      <c r="W110" s="105"/>
      <c r="X110" s="106"/>
      <c r="Y110" s="106"/>
      <c r="Z110" s="109"/>
      <c r="AA110" s="433"/>
      <c r="AB110" s="109"/>
      <c r="AC110" s="15"/>
      <c r="AD110" s="15" t="s">
        <v>40</v>
      </c>
      <c r="AE110" s="15" t="s">
        <v>35</v>
      </c>
      <c r="AF110" s="15" t="s">
        <v>36</v>
      </c>
      <c r="AG110" s="16" t="s">
        <v>37</v>
      </c>
    </row>
    <row r="111" spans="1:33" ht="16" thickBot="1" x14ac:dyDescent="0.25">
      <c r="A111" s="110">
        <v>5</v>
      </c>
      <c r="B111" s="111" t="s">
        <v>92</v>
      </c>
      <c r="C111" s="111" t="s">
        <v>226</v>
      </c>
      <c r="D111" s="367">
        <v>0</v>
      </c>
      <c r="E111" s="112">
        <f t="shared" si="32"/>
        <v>-0.24484016865061223</v>
      </c>
      <c r="F111" s="253">
        <f>(COS('Coords-Trans'!$T$4)*((COS(-banglerad)*K111+SIN(-banglerad)*I111)*1000+'Coords-Trans'!$J$8-'Coords-Trans'!$J$10)+SIN('Coords-Trans'!$T$4)*((-SIN(-banglerad)*K111+COS(-banglerad)*I111)*1000+'Coords-Trans'!$K$8-'Coords-Trans'!$K$10))</f>
        <v>98406.773597864274</v>
      </c>
      <c r="G111" s="217">
        <f>(-SIN('Coords-Trans'!$T$4)*((COS(-banglerad)*K111+SIN(-banglerad)*I111)*1000+'Coords-Trans'!$J$8-'Coords-Trans'!$J$10)+COS('Coords-Trans'!$T$4)*((-SIN(-banglerad)*K111+COS(-banglerad)*I111)*1000+'Coords-Trans'!$K$8-'Coords-Trans'!$K$10))</f>
        <v>910.39351107268158</v>
      </c>
      <c r="H111" s="287">
        <f t="shared" si="34"/>
        <v>-422.47946124509252</v>
      </c>
      <c r="I111" s="367">
        <f t="shared" si="26"/>
        <v>8.4319025853307833E-2</v>
      </c>
      <c r="J111" s="112">
        <f t="shared" si="27"/>
        <v>-0.4224794612450925</v>
      </c>
      <c r="K111" s="310">
        <f t="shared" si="28"/>
        <v>98.435343898920962</v>
      </c>
      <c r="L111" s="367">
        <f t="shared" si="41"/>
        <v>9.2865534010406009E-2</v>
      </c>
      <c r="M111" s="112">
        <f t="shared" si="42"/>
        <v>-0.4224794612450925</v>
      </c>
      <c r="N111" s="310">
        <f t="shared" si="43"/>
        <v>100.43532563813717</v>
      </c>
      <c r="O111" s="113">
        <v>2</v>
      </c>
      <c r="P111" s="479">
        <f t="shared" si="33"/>
        <v>100.43921685605333</v>
      </c>
      <c r="Q111" s="110" t="s">
        <v>33</v>
      </c>
      <c r="R111" s="114" t="s">
        <v>33</v>
      </c>
      <c r="S111" s="165">
        <v>114.66</v>
      </c>
      <c r="T111" s="165">
        <v>114.66</v>
      </c>
      <c r="U111" s="165">
        <f>1000*SQRT((1-(K111-$K$105-$AF$114)^2/$AD$114/$AD$114)*$AE$114*$AE$114)+$AG$114</f>
        <v>98.319449772628786</v>
      </c>
      <c r="V111" s="165">
        <f>1000*SQRT((1-(N111-$K$105-$AF$114)^2/$AD$114/$AD$114)*$AE$114*$AE$114)+$AG$114</f>
        <v>91.575565959526642</v>
      </c>
      <c r="W111" s="110">
        <v>2.5</v>
      </c>
      <c r="X111" s="111">
        <v>2.5</v>
      </c>
      <c r="Y111" s="111">
        <v>2.5</v>
      </c>
      <c r="Z111" s="114">
        <v>2.5</v>
      </c>
      <c r="AA111" s="434" t="s">
        <v>31</v>
      </c>
      <c r="AB111" s="114"/>
      <c r="AC111" s="15"/>
      <c r="AD111" s="15"/>
      <c r="AE111" s="15"/>
      <c r="AF111" s="15"/>
      <c r="AG111" s="16"/>
    </row>
    <row r="112" spans="1:33" ht="16" thickBot="1" x14ac:dyDescent="0.25">
      <c r="A112" s="105" t="s">
        <v>43</v>
      </c>
      <c r="B112" s="106"/>
      <c r="C112" s="106"/>
      <c r="D112" s="366">
        <v>0</v>
      </c>
      <c r="E112" s="107">
        <f t="shared" si="32"/>
        <v>-0.24484016865061223</v>
      </c>
      <c r="F112" s="252">
        <f>(COS('Coords-Trans'!$T$4)*((COS(-banglerad)*K112+SIN(-banglerad)*I112)*1000+'Coords-Trans'!$J$8-'Coords-Trans'!$J$10)+SIN('Coords-Trans'!$T$4)*((-SIN(-banglerad)*K112+COS(-banglerad)*I112)*1000+'Coords-Trans'!$K$8-'Coords-Trans'!$K$10))</f>
        <v>100406.6046024973</v>
      </c>
      <c r="G112" s="216">
        <f>(-SIN('Coords-Trans'!$T$4)*((COS(-banglerad)*K112+SIN(-banglerad)*I112)*1000+'Coords-Trans'!$J$8-'Coords-Trans'!$J$10)+COS('Coords-Trans'!$T$4)*((-SIN(-banglerad)*K112+COS(-banglerad)*I112)*1000+'Coords-Trans'!$K$8-'Coords-Trans'!$K$10))</f>
        <v>936.39260544830177</v>
      </c>
      <c r="H112" s="286">
        <f t="shared" si="34"/>
        <v>-422.47946124509252</v>
      </c>
      <c r="I112" s="366">
        <f t="shared" si="26"/>
        <v>9.2865534010406009E-2</v>
      </c>
      <c r="J112" s="107">
        <f t="shared" si="27"/>
        <v>-0.4224794612450925</v>
      </c>
      <c r="K112" s="309">
        <f t="shared" si="28"/>
        <v>100.43532563813717</v>
      </c>
      <c r="L112" s="366">
        <f t="shared" si="41"/>
        <v>9.2874080518563107E-2</v>
      </c>
      <c r="M112" s="107">
        <f t="shared" si="42"/>
        <v>-0.4224794612450925</v>
      </c>
      <c r="N112" s="309">
        <f t="shared" si="43"/>
        <v>100.43732561987639</v>
      </c>
      <c r="O112" s="108">
        <v>2E-3</v>
      </c>
      <c r="P112" s="478">
        <f t="shared" si="33"/>
        <v>100.44121685605333</v>
      </c>
      <c r="Q112" s="105"/>
      <c r="R112" s="109"/>
      <c r="S112" s="164"/>
      <c r="T112" s="164"/>
      <c r="U112" s="164"/>
      <c r="V112" s="164"/>
      <c r="W112" s="105"/>
      <c r="X112" s="106"/>
      <c r="Y112" s="106"/>
      <c r="Z112" s="109"/>
      <c r="AA112" s="433"/>
      <c r="AB112" s="109"/>
      <c r="AC112" s="14" t="s">
        <v>39</v>
      </c>
      <c r="AD112" s="15" t="s">
        <v>47</v>
      </c>
      <c r="AE112" s="15" t="s">
        <v>47</v>
      </c>
      <c r="AF112" s="15" t="s">
        <v>47</v>
      </c>
      <c r="AG112" s="15" t="s">
        <v>47</v>
      </c>
    </row>
    <row r="113" spans="1:33" x14ac:dyDescent="0.2">
      <c r="A113" s="100">
        <v>5</v>
      </c>
      <c r="B113" s="101" t="s">
        <v>93</v>
      </c>
      <c r="C113" s="101" t="s">
        <v>227</v>
      </c>
      <c r="D113" s="368">
        <v>0</v>
      </c>
      <c r="E113" s="102">
        <f t="shared" si="32"/>
        <v>-0.24484016865061223</v>
      </c>
      <c r="F113" s="254">
        <f>(COS('Coords-Trans'!$T$4)*((COS(-banglerad)*K113+SIN(-banglerad)*I113)*1000+'Coords-Trans'!$J$8-'Coords-Trans'!$J$10)+SIN('Coords-Trans'!$T$4)*((-SIN(-banglerad)*K113+COS(-banglerad)*I113)*1000+'Coords-Trans'!$K$8-'Coords-Trans'!$K$10))</f>
        <v>100408.60443350195</v>
      </c>
      <c r="G113" s="218">
        <f>(-SIN('Coords-Trans'!$T$4)*((COS(-banglerad)*K113+SIN(-banglerad)*I113)*1000+'Coords-Trans'!$J$8-'Coords-Trans'!$J$10)+COS('Coords-Trans'!$T$4)*((-SIN(-banglerad)*K113+COS(-banglerad)*I113)*1000+'Coords-Trans'!$K$8-'Coords-Trans'!$K$10))</f>
        <v>936.41860454268317</v>
      </c>
      <c r="H113" s="288">
        <f t="shared" si="34"/>
        <v>-422.47946124509252</v>
      </c>
      <c r="I113" s="368">
        <f t="shared" si="26"/>
        <v>9.2874080518563107E-2</v>
      </c>
      <c r="J113" s="102">
        <f t="shared" si="27"/>
        <v>-0.4224794612450925</v>
      </c>
      <c r="K113" s="311">
        <f t="shared" si="28"/>
        <v>100.43732561987639</v>
      </c>
      <c r="L113" s="368">
        <f t="shared" si="41"/>
        <v>0.10142058867566128</v>
      </c>
      <c r="M113" s="102">
        <f t="shared" si="42"/>
        <v>-0.4224794612450925</v>
      </c>
      <c r="N113" s="311">
        <f t="shared" si="43"/>
        <v>102.4373073590926</v>
      </c>
      <c r="O113" s="103">
        <v>2</v>
      </c>
      <c r="P113" s="480">
        <f t="shared" si="33"/>
        <v>102.44121685605333</v>
      </c>
      <c r="Q113" s="100" t="s">
        <v>33</v>
      </c>
      <c r="R113" s="104" t="s">
        <v>33</v>
      </c>
      <c r="S113" s="163">
        <v>114.66</v>
      </c>
      <c r="T113" s="163">
        <v>114.66</v>
      </c>
      <c r="U113" s="163">
        <f>1000*SQRT((1-(K113-$K$105-$AF$114)^2/$AD$114/$AD$114)*$AE$114*$AE$114)+$AG$114</f>
        <v>91.568288392783373</v>
      </c>
      <c r="V113" s="163">
        <f>1000*SQRT((1-(N113-$K$105-$AF$114)^2/$AD$114/$AD$114)*$AE$114*$AE$114)+$AG$114</f>
        <v>83.664198523839275</v>
      </c>
      <c r="W113" s="100">
        <v>2.5</v>
      </c>
      <c r="X113" s="101">
        <v>2.5</v>
      </c>
      <c r="Y113" s="101">
        <v>2.5</v>
      </c>
      <c r="Z113" s="104">
        <v>2.5</v>
      </c>
      <c r="AA113" s="435" t="s">
        <v>31</v>
      </c>
      <c r="AB113" s="104"/>
      <c r="AC113" s="15"/>
      <c r="AD113" s="15"/>
      <c r="AE113" s="15"/>
      <c r="AF113" s="15"/>
      <c r="AG113" s="16"/>
    </row>
    <row r="114" spans="1:33" x14ac:dyDescent="0.2">
      <c r="A114" s="105" t="s">
        <v>43</v>
      </c>
      <c r="B114" s="106" t="s">
        <v>93</v>
      </c>
      <c r="C114" s="106"/>
      <c r="D114" s="366">
        <v>0</v>
      </c>
      <c r="E114" s="107">
        <f t="shared" si="32"/>
        <v>-0.24484016865061223</v>
      </c>
      <c r="F114" s="252">
        <f>(COS('Coords-Trans'!$T$4)*((COS(-banglerad)*K114+SIN(-banglerad)*I114)*1000+'Coords-Trans'!$J$8-'Coords-Trans'!$J$10)+SIN('Coords-Trans'!$T$4)*((-SIN(-banglerad)*K114+COS(-banglerad)*I114)*1000+'Coords-Trans'!$K$8-'Coords-Trans'!$K$10))</f>
        <v>102408.435438135</v>
      </c>
      <c r="G114" s="216">
        <f>(-SIN('Coords-Trans'!$T$4)*((COS(-banglerad)*K114+SIN(-banglerad)*I114)*1000+'Coords-Trans'!$J$8-'Coords-Trans'!$J$10)+COS('Coords-Trans'!$T$4)*((-SIN(-banglerad)*K114+COS(-banglerad)*I114)*1000+'Coords-Trans'!$K$8-'Coords-Trans'!$K$10))</f>
        <v>962.41769891831791</v>
      </c>
      <c r="H114" s="286">
        <f t="shared" si="34"/>
        <v>-422.47946124509252</v>
      </c>
      <c r="I114" s="366">
        <f t="shared" si="26"/>
        <v>0.10142058867566128</v>
      </c>
      <c r="J114" s="107">
        <f t="shared" si="27"/>
        <v>-0.4224794612450925</v>
      </c>
      <c r="K114" s="309">
        <f t="shared" si="28"/>
        <v>102.4373073590926</v>
      </c>
      <c r="L114" s="366">
        <f t="shared" si="41"/>
        <v>0.10142486192973983</v>
      </c>
      <c r="M114" s="107">
        <f t="shared" si="42"/>
        <v>-0.4224794612450925</v>
      </c>
      <c r="N114" s="309">
        <f t="shared" si="43"/>
        <v>102.4383073499622</v>
      </c>
      <c r="O114" s="108">
        <v>1E-3</v>
      </c>
      <c r="P114" s="478">
        <f t="shared" si="33"/>
        <v>102.44221685605334</v>
      </c>
      <c r="Q114" s="105"/>
      <c r="R114" s="109"/>
      <c r="S114" s="164"/>
      <c r="T114" s="164"/>
      <c r="U114" s="164"/>
      <c r="V114" s="164"/>
      <c r="W114" s="105"/>
      <c r="X114" s="106"/>
      <c r="Y114" s="106"/>
      <c r="Z114" s="109"/>
      <c r="AA114" s="433"/>
      <c r="AB114" s="109"/>
      <c r="AC114" s="15" t="s">
        <v>46</v>
      </c>
      <c r="AD114" s="15">
        <v>36</v>
      </c>
      <c r="AE114" s="15">
        <v>0.13</v>
      </c>
      <c r="AF114" s="15">
        <v>-18.611999999999998</v>
      </c>
      <c r="AG114" s="16">
        <v>0</v>
      </c>
    </row>
    <row r="115" spans="1:33" x14ac:dyDescent="0.2">
      <c r="A115" s="180">
        <v>5</v>
      </c>
      <c r="B115" s="176" t="s">
        <v>93</v>
      </c>
      <c r="C115" s="176" t="s">
        <v>269</v>
      </c>
      <c r="D115" s="365">
        <v>0</v>
      </c>
      <c r="E115" s="177">
        <f t="shared" si="32"/>
        <v>-0.24484016865061223</v>
      </c>
      <c r="F115" s="251">
        <f>(COS('Coords-Trans'!$T$4)*((COS(-banglerad)*K115+SIN(-banglerad)*I115)*1000+'Coords-Trans'!$J$8-'Coords-Trans'!$J$10)+SIN('Coords-Trans'!$T$4)*((-SIN(-banglerad)*K115+COS(-banglerad)*I115)*1000+'Coords-Trans'!$K$8-'Coords-Trans'!$K$10))</f>
        <v>102409.43535363729</v>
      </c>
      <c r="G115" s="215">
        <f>(-SIN('Coords-Trans'!$T$4)*((COS(-banglerad)*K115+SIN(-banglerad)*I115)*1000+'Coords-Trans'!$J$8-'Coords-Trans'!$J$10)+COS('Coords-Trans'!$T$4)*((-SIN(-banglerad)*K115+COS(-banglerad)*I115)*1000+'Coords-Trans'!$K$8-'Coords-Trans'!$K$10))</f>
        <v>962.43069846549042</v>
      </c>
      <c r="H115" s="285">
        <f t="shared" si="34"/>
        <v>-422.47946124509252</v>
      </c>
      <c r="I115" s="365">
        <f t="shared" si="26"/>
        <v>0.10142486192973983</v>
      </c>
      <c r="J115" s="177">
        <f t="shared" si="27"/>
        <v>-0.4224794612450925</v>
      </c>
      <c r="K115" s="308">
        <f t="shared" si="28"/>
        <v>102.4383073499622</v>
      </c>
      <c r="L115" s="365">
        <f t="shared" si="41"/>
        <v>0.11021494556931531</v>
      </c>
      <c r="M115" s="177">
        <f t="shared" si="42"/>
        <v>-0.4224794612450925</v>
      </c>
      <c r="N115" s="308">
        <f t="shared" si="43"/>
        <v>104.49528856874608</v>
      </c>
      <c r="O115" s="178">
        <f>11-SUM(O105:O114)</f>
        <v>2.0570000000000004</v>
      </c>
      <c r="P115" s="477">
        <f t="shared" si="33"/>
        <v>104.49921685605334</v>
      </c>
      <c r="Q115" s="180" t="s">
        <v>33</v>
      </c>
      <c r="R115" s="181" t="s">
        <v>33</v>
      </c>
      <c r="S115" s="179">
        <v>114.66</v>
      </c>
      <c r="T115" s="179">
        <v>114.66</v>
      </c>
      <c r="U115" s="179">
        <f>1000*SQRT((1-(K115-$K$105-$AF$114)^2/$AD$114/$AD$114)*$AE$114*$AE$114)+$AG$114</f>
        <v>83.659903748232722</v>
      </c>
      <c r="V115" s="179">
        <f>1000*SQRT((1-(N115-$K$105-$AF$114)^2/$AD$114/$AD$114)*$AE$114*$AE$114)+$AG$114</f>
        <v>73.92954358526832</v>
      </c>
      <c r="W115" s="180">
        <v>2.5</v>
      </c>
      <c r="X115" s="176">
        <v>2.5</v>
      </c>
      <c r="Y115" s="176">
        <v>2.5</v>
      </c>
      <c r="Z115" s="181">
        <v>2.5</v>
      </c>
      <c r="AA115" s="432" t="s">
        <v>31</v>
      </c>
      <c r="AB115" s="181" t="s">
        <v>48</v>
      </c>
      <c r="AC115" s="15"/>
      <c r="AD115" s="15"/>
      <c r="AE115" s="15"/>
      <c r="AF115" s="15"/>
      <c r="AG115" s="16"/>
    </row>
    <row r="116" spans="1:33" ht="16" thickBot="1" x14ac:dyDescent="0.25">
      <c r="A116" s="110">
        <v>5</v>
      </c>
      <c r="B116" s="111" t="s">
        <v>93</v>
      </c>
      <c r="C116" s="111" t="s">
        <v>270</v>
      </c>
      <c r="D116" s="367">
        <v>0</v>
      </c>
      <c r="E116" s="112">
        <f t="shared" si="32"/>
        <v>-0.24484016865061223</v>
      </c>
      <c r="F116" s="253">
        <f>(COS('Coords-Trans'!$T$4)*((COS(-banglerad)*K116+SIN(-banglerad)*I116)*1000+'Coords-Trans'!$J$8-'Coords-Trans'!$J$10)+SIN('Coords-Trans'!$T$4)*((-SIN(-banglerad)*K116+COS(-banglerad)*I116)*1000+'Coords-Trans'!$K$8-'Coords-Trans'!$K$10))</f>
        <v>104466.26154190239</v>
      </c>
      <c r="G116" s="217">
        <f>(-SIN('Coords-Trans'!$T$4)*((COS(-banglerad)*K116+SIN(-banglerad)*I116)*1000+'Coords-Trans'!$J$8-'Coords-Trans'!$J$10)+COS('Coords-Trans'!$T$4)*((-SIN(-banglerad)*K116+COS(-banglerad)*I116)*1000+'Coords-Trans'!$K$8-'Coords-Trans'!$K$10))</f>
        <v>989.17076703083876</v>
      </c>
      <c r="H116" s="287">
        <f t="shared" si="34"/>
        <v>-422.47946124509252</v>
      </c>
      <c r="I116" s="367">
        <f t="shared" si="26"/>
        <v>0.11021494556931531</v>
      </c>
      <c r="J116" s="112">
        <f t="shared" si="27"/>
        <v>-0.4224794612450925</v>
      </c>
      <c r="K116" s="310">
        <f t="shared" si="28"/>
        <v>104.49528856874608</v>
      </c>
      <c r="L116" s="367">
        <f t="shared" si="41"/>
        <v>0.11157384036629392</v>
      </c>
      <c r="M116" s="112">
        <f t="shared" si="42"/>
        <v>-0.4224794612450925</v>
      </c>
      <c r="N116" s="310">
        <f t="shared" si="43"/>
        <v>104.81328566528146</v>
      </c>
      <c r="O116" s="113">
        <v>0.318</v>
      </c>
      <c r="P116" s="479">
        <f t="shared" si="33"/>
        <v>104.81721685605334</v>
      </c>
      <c r="Q116" s="110" t="s">
        <v>33</v>
      </c>
      <c r="R116" s="114" t="s">
        <v>33</v>
      </c>
      <c r="S116" s="165">
        <v>114.66</v>
      </c>
      <c r="T116" s="165">
        <v>114.66</v>
      </c>
      <c r="U116" s="165">
        <f>1000*SQRT((1-(K116-$K$105-$AF$114)^2/$AD$114/$AD$114)*$AE$114*$AE$114)+$AG$114</f>
        <v>73.92954358526832</v>
      </c>
      <c r="V116" s="165">
        <v>73.89</v>
      </c>
      <c r="W116" s="110">
        <v>2.5</v>
      </c>
      <c r="X116" s="111">
        <v>2.5</v>
      </c>
      <c r="Y116" s="111">
        <v>2.5</v>
      </c>
      <c r="Z116" s="114">
        <v>2.5</v>
      </c>
      <c r="AA116" s="434" t="s">
        <v>31</v>
      </c>
      <c r="AB116" s="114"/>
      <c r="AC116" s="15"/>
      <c r="AD116" s="15"/>
      <c r="AE116" s="15"/>
      <c r="AF116" s="15"/>
      <c r="AG116" s="16"/>
    </row>
    <row r="117" spans="1:33" ht="16" thickBot="1" x14ac:dyDescent="0.25">
      <c r="A117" s="105" t="s">
        <v>43</v>
      </c>
      <c r="B117" s="106"/>
      <c r="C117" s="106"/>
      <c r="D117" s="366">
        <v>0</v>
      </c>
      <c r="E117" s="107">
        <f t="shared" si="32"/>
        <v>-0.24484016865061223</v>
      </c>
      <c r="F117" s="252">
        <f>(COS('Coords-Trans'!$T$4)*((COS(-banglerad)*K117+SIN(-banglerad)*I117)*1000+'Coords-Trans'!$J$8-'Coords-Trans'!$J$10)+SIN('Coords-Trans'!$T$4)*((-SIN(-banglerad)*K117+COS(-banglerad)*I117)*1000+'Coords-Trans'!$K$8-'Coords-Trans'!$K$10))</f>
        <v>104784.23467163906</v>
      </c>
      <c r="G117" s="216">
        <f>(-SIN('Coords-Trans'!$T$4)*((COS(-banglerad)*K117+SIN(-banglerad)*I117)*1000+'Coords-Trans'!$J$8-'Coords-Trans'!$J$10)+COS('Coords-Trans'!$T$4)*((-SIN(-banglerad)*K117+COS(-banglerad)*I117)*1000+'Coords-Trans'!$K$8-'Coords-Trans'!$K$10))</f>
        <v>993.30462303655077</v>
      </c>
      <c r="H117" s="286">
        <f t="shared" si="34"/>
        <v>-422.47946124509252</v>
      </c>
      <c r="I117" s="366">
        <f t="shared" si="26"/>
        <v>0.11157384036629392</v>
      </c>
      <c r="J117" s="107">
        <f t="shared" si="27"/>
        <v>-0.4224794612450925</v>
      </c>
      <c r="K117" s="309">
        <f t="shared" si="28"/>
        <v>104.81328566528146</v>
      </c>
      <c r="L117" s="366">
        <f t="shared" si="41"/>
        <v>0.11158238687445102</v>
      </c>
      <c r="M117" s="107">
        <f t="shared" si="42"/>
        <v>-0.4224794612450925</v>
      </c>
      <c r="N117" s="309">
        <f t="shared" si="43"/>
        <v>104.81528564702067</v>
      </c>
      <c r="O117" s="108">
        <v>2E-3</v>
      </c>
      <c r="P117" s="478">
        <f t="shared" si="33"/>
        <v>104.81921685605333</v>
      </c>
      <c r="Q117" s="105"/>
      <c r="R117" s="109"/>
      <c r="S117" s="164"/>
      <c r="T117" s="164"/>
      <c r="U117" s="164"/>
      <c r="V117" s="164"/>
      <c r="W117" s="105"/>
      <c r="X117" s="106"/>
      <c r="Y117" s="106"/>
      <c r="Z117" s="109"/>
      <c r="AA117" s="433"/>
      <c r="AB117" s="109"/>
      <c r="AC117" s="17"/>
      <c r="AD117" s="17"/>
      <c r="AE117" s="17"/>
      <c r="AF117" s="17"/>
      <c r="AG117" s="18"/>
    </row>
    <row r="118" spans="1:33" x14ac:dyDescent="0.2">
      <c r="A118" s="100">
        <v>5</v>
      </c>
      <c r="B118" s="101" t="s">
        <v>94</v>
      </c>
      <c r="C118" s="101" t="s">
        <v>135</v>
      </c>
      <c r="D118" s="368">
        <v>0</v>
      </c>
      <c r="E118" s="102">
        <f>$E$65</f>
        <v>-0.24484016865061223</v>
      </c>
      <c r="F118" s="254">
        <f>(COS('Coords-Trans'!$T$4)*((COS(-banglerad)*K118+SIN(-banglerad)*I118)*1000+'Coords-Trans'!$J$8-'Coords-Trans'!$J$10)+SIN('Coords-Trans'!$T$4)*((-SIN(-banglerad)*K118+COS(-banglerad)*I118)*1000+'Coords-Trans'!$K$8-'Coords-Trans'!$K$10))</f>
        <v>104786.2345026437</v>
      </c>
      <c r="G118" s="218">
        <f>(-SIN('Coords-Trans'!$T$4)*((COS(-banglerad)*K118+SIN(-banglerad)*I118)*1000+'Coords-Trans'!$J$8-'Coords-Trans'!$J$10)+COS('Coords-Trans'!$T$4)*((-SIN(-banglerad)*K118+COS(-banglerad)*I118)*1000+'Coords-Trans'!$K$8-'Coords-Trans'!$K$10))</f>
        <v>993.33062213091762</v>
      </c>
      <c r="H118" s="288">
        <f t="shared" si="34"/>
        <v>-422.47946124509252</v>
      </c>
      <c r="I118" s="368">
        <f t="shared" si="26"/>
        <v>0.11158238687445102</v>
      </c>
      <c r="J118" s="102">
        <f t="shared" si="27"/>
        <v>-0.4224794612450925</v>
      </c>
      <c r="K118" s="311">
        <f t="shared" si="28"/>
        <v>104.81528564702067</v>
      </c>
      <c r="L118" s="368">
        <f t="shared" si="41"/>
        <v>0.11500099013729029</v>
      </c>
      <c r="M118" s="102">
        <f t="shared" si="42"/>
        <v>-0.4224794612450925</v>
      </c>
      <c r="N118" s="311">
        <f t="shared" si="43"/>
        <v>105.61527834270716</v>
      </c>
      <c r="O118" s="103">
        <v>0.8</v>
      </c>
      <c r="P118" s="480">
        <f t="shared" si="33"/>
        <v>105.61921685605333</v>
      </c>
      <c r="Q118" s="100" t="s">
        <v>33</v>
      </c>
      <c r="R118" s="104" t="s">
        <v>33</v>
      </c>
      <c r="S118" s="163">
        <v>114.66</v>
      </c>
      <c r="T118" s="163">
        <v>114.66</v>
      </c>
      <c r="U118" s="163">
        <v>73.89</v>
      </c>
      <c r="V118" s="163">
        <f>U118</f>
        <v>73.89</v>
      </c>
      <c r="W118" s="100">
        <v>2.5</v>
      </c>
      <c r="X118" s="101">
        <v>2.5</v>
      </c>
      <c r="Y118" s="101">
        <v>2.5</v>
      </c>
      <c r="Z118" s="104">
        <v>2.5</v>
      </c>
      <c r="AA118" s="435" t="s">
        <v>31</v>
      </c>
      <c r="AB118" s="104"/>
    </row>
    <row r="119" spans="1:33" x14ac:dyDescent="0.2">
      <c r="A119" s="115" t="s">
        <v>42</v>
      </c>
      <c r="B119" s="65" t="s">
        <v>94</v>
      </c>
      <c r="C119" s="65"/>
      <c r="D119" s="369">
        <v>0</v>
      </c>
      <c r="E119" s="66">
        <f t="shared" si="32"/>
        <v>-0.24484016865061223</v>
      </c>
      <c r="F119" s="234">
        <f>(COS('Coords-Trans'!$T$4)*((COS(-banglerad)*K119+SIN(-banglerad)*I119)*1000+'Coords-Trans'!$J$8-'Coords-Trans'!$J$10)+SIN('Coords-Trans'!$T$4)*((-SIN(-banglerad)*K119+COS(-banglerad)*I119)*1000+'Coords-Trans'!$K$8-'Coords-Trans'!$K$10))</f>
        <v>105585.8885723882</v>
      </c>
      <c r="G119" s="219">
        <f>(-SIN('Coords-Trans'!$T$4)*((COS(-banglerad)*K119+SIN(-banglerad)*I119)*1000+'Coords-Trans'!$J$8-'Coords-Trans'!$J$10)+COS('Coords-Trans'!$T$4)*((-SIN(-banglerad)*K119+COS(-banglerad)*I119)*1000+'Coords-Trans'!$K$8-'Coords-Trans'!$K$10))</f>
        <v>1003.7278309136673</v>
      </c>
      <c r="H119" s="268">
        <f t="shared" si="34"/>
        <v>-422.47946124509252</v>
      </c>
      <c r="I119" s="369">
        <f t="shared" si="26"/>
        <v>0.11500099013729029</v>
      </c>
      <c r="J119" s="66">
        <f t="shared" si="27"/>
        <v>-0.4224794612450925</v>
      </c>
      <c r="K119" s="298">
        <f>ps1z-O119/2</f>
        <v>105.61500000000001</v>
      </c>
      <c r="L119" s="369">
        <f t="shared" si="41"/>
        <v>0.1154283155451452</v>
      </c>
      <c r="M119" s="66">
        <f t="shared" si="42"/>
        <v>-0.4224794612450925</v>
      </c>
      <c r="N119" s="298">
        <f t="shared" si="43"/>
        <v>105.71499908696082</v>
      </c>
      <c r="O119" s="67">
        <v>0.1</v>
      </c>
      <c r="P119" s="481">
        <f t="shared" si="33"/>
        <v>105.71921685605332</v>
      </c>
      <c r="Q119" s="64"/>
      <c r="R119" s="68"/>
      <c r="S119" s="156"/>
      <c r="T119" s="156"/>
      <c r="U119" s="156"/>
      <c r="V119" s="156"/>
      <c r="W119" s="64"/>
      <c r="X119" s="65"/>
      <c r="Y119" s="65"/>
      <c r="Z119" s="68"/>
      <c r="AA119" s="421"/>
      <c r="AB119" s="116" t="s">
        <v>204</v>
      </c>
    </row>
    <row r="120" spans="1:33" ht="16" thickBot="1" x14ac:dyDescent="0.25">
      <c r="A120" s="117">
        <v>6</v>
      </c>
      <c r="B120" s="118" t="s">
        <v>94</v>
      </c>
      <c r="C120" s="118" t="s">
        <v>136</v>
      </c>
      <c r="D120" s="370">
        <v>0</v>
      </c>
      <c r="E120" s="119">
        <f t="shared" si="32"/>
        <v>-0.24484016865061223</v>
      </c>
      <c r="F120" s="255">
        <f>(COS('Coords-Trans'!$T$4)*((COS(-banglerad)*K120+SIN(-banglerad)*I120)*1000+'Coords-Trans'!$J$8-'Coords-Trans'!$J$10)+SIN('Coords-Trans'!$T$4)*((-SIN(-banglerad)*K120+COS(-banglerad)*I120)*1000+'Coords-Trans'!$K$8-'Coords-Trans'!$K$10))</f>
        <v>105685.88012261986</v>
      </c>
      <c r="G120" s="220">
        <f>(-SIN('Coords-Trans'!$T$4)*((COS(-banglerad)*K120+SIN(-banglerad)*I120)*1000+'Coords-Trans'!$J$8-'Coords-Trans'!$J$10)+COS('Coords-Trans'!$T$4)*((-SIN(-banglerad)*K120+COS(-banglerad)*I120)*1000+'Coords-Trans'!$K$8-'Coords-Trans'!$K$10))</f>
        <v>1005.0277856324246</v>
      </c>
      <c r="H120" s="289">
        <f t="shared" si="34"/>
        <v>-422.47946124509252</v>
      </c>
      <c r="I120" s="370">
        <f t="shared" si="26"/>
        <v>0.1154283155451452</v>
      </c>
      <c r="J120" s="119">
        <f t="shared" si="27"/>
        <v>-0.4224794612450925</v>
      </c>
      <c r="K120" s="312">
        <f t="shared" si="28"/>
        <v>105.71499908696082</v>
      </c>
      <c r="L120" s="370">
        <f t="shared" si="41"/>
        <v>0.11884691880798447</v>
      </c>
      <c r="M120" s="119">
        <f t="shared" si="42"/>
        <v>-0.4224794612450925</v>
      </c>
      <c r="N120" s="312">
        <f t="shared" si="43"/>
        <v>106.5149917826473</v>
      </c>
      <c r="O120" s="120">
        <v>0.8</v>
      </c>
      <c r="P120" s="482">
        <f t="shared" si="33"/>
        <v>106.51921685605332</v>
      </c>
      <c r="Q120" s="117" t="s">
        <v>33</v>
      </c>
      <c r="R120" s="121" t="s">
        <v>33</v>
      </c>
      <c r="S120" s="166">
        <v>114.66</v>
      </c>
      <c r="T120" s="166">
        <v>114.66</v>
      </c>
      <c r="U120" s="166">
        <v>73.89</v>
      </c>
      <c r="V120" s="166">
        <v>73.89</v>
      </c>
      <c r="W120" s="117">
        <v>2.5</v>
      </c>
      <c r="X120" s="118">
        <v>2.5</v>
      </c>
      <c r="Y120" s="118">
        <v>2</v>
      </c>
      <c r="Z120" s="121">
        <v>2</v>
      </c>
      <c r="AA120" s="436" t="s">
        <v>31</v>
      </c>
      <c r="AB120" s="121" t="s">
        <v>72</v>
      </c>
    </row>
    <row r="121" spans="1:33" ht="16" thickBot="1" x14ac:dyDescent="0.25">
      <c r="A121" s="19" t="s">
        <v>43</v>
      </c>
      <c r="B121" s="19"/>
      <c r="C121" s="19"/>
      <c r="D121" s="371">
        <v>0</v>
      </c>
      <c r="E121" s="35">
        <f t="shared" si="32"/>
        <v>-0.24484016865061223</v>
      </c>
      <c r="F121" s="256">
        <f>(COS('Coords-Trans'!$T$4)*((COS(-banglerad)*K121+SIN(-banglerad)*I121)*1000+'Coords-Trans'!$J$8-'Coords-Trans'!$J$10)+SIN('Coords-Trans'!$T$4)*((-SIN(-banglerad)*K121+COS(-banglerad)*I121)*1000+'Coords-Trans'!$K$8-'Coords-Trans'!$K$10))</f>
        <v>106485.81252447306</v>
      </c>
      <c r="G121" s="221">
        <f>(-SIN('Coords-Trans'!$T$4)*((COS(-banglerad)*K121+SIN(-banglerad)*I121)*1000+'Coords-Trans'!$J$8-'Coords-Trans'!$J$10)+COS('Coords-Trans'!$T$4)*((-SIN(-banglerad)*K121+COS(-banglerad)*I121)*1000+'Coords-Trans'!$K$8-'Coords-Trans'!$K$10))</f>
        <v>1015.4274233826873</v>
      </c>
      <c r="H121" s="290">
        <f t="shared" si="34"/>
        <v>-422.47946124509252</v>
      </c>
      <c r="I121" s="371">
        <f t="shared" si="26"/>
        <v>0.11884691880798447</v>
      </c>
      <c r="J121" s="35">
        <f t="shared" si="27"/>
        <v>-0.4224794612450925</v>
      </c>
      <c r="K121" s="313">
        <f t="shared" si="28"/>
        <v>106.5149917826473</v>
      </c>
      <c r="L121" s="371">
        <f t="shared" si="41"/>
        <v>0.11885546531614156</v>
      </c>
      <c r="M121" s="35">
        <f t="shared" si="42"/>
        <v>-0.4224794612450925</v>
      </c>
      <c r="N121" s="313">
        <f t="shared" si="43"/>
        <v>106.51699176438652</v>
      </c>
      <c r="O121" s="130">
        <v>2E-3</v>
      </c>
      <c r="P121" s="483">
        <f t="shared" si="33"/>
        <v>106.52121685605331</v>
      </c>
      <c r="Q121" s="127"/>
      <c r="R121" s="131"/>
      <c r="S121" s="167"/>
      <c r="T121" s="167"/>
      <c r="U121" s="167"/>
      <c r="V121" s="167"/>
      <c r="W121" s="127"/>
      <c r="X121" s="128"/>
      <c r="Y121" s="128"/>
      <c r="Z121" s="131"/>
      <c r="AA121" s="437"/>
      <c r="AB121" s="19" t="s">
        <v>188</v>
      </c>
    </row>
    <row r="122" spans="1:33" x14ac:dyDescent="0.2">
      <c r="A122" s="122">
        <v>6</v>
      </c>
      <c r="B122" s="123" t="s">
        <v>95</v>
      </c>
      <c r="C122" s="123" t="s">
        <v>137</v>
      </c>
      <c r="D122" s="372">
        <v>0</v>
      </c>
      <c r="E122" s="124">
        <f t="shared" si="32"/>
        <v>-0.24484016865061223</v>
      </c>
      <c r="F122" s="257">
        <f>(COS('Coords-Trans'!$T$4)*((COS(-banglerad)*K122+SIN(-banglerad)*I122)*1000+'Coords-Trans'!$J$8-'Coords-Trans'!$J$10)+SIN('Coords-Trans'!$T$4)*((-SIN(-banglerad)*K122+COS(-banglerad)*I122)*1000+'Coords-Trans'!$K$8-'Coords-Trans'!$K$10))</f>
        <v>106487.81235547771</v>
      </c>
      <c r="G122" s="222">
        <f>(-SIN('Coords-Trans'!$T$4)*((COS(-banglerad)*K122+SIN(-banglerad)*I122)*1000+'Coords-Trans'!$J$8-'Coords-Trans'!$J$10)+COS('Coords-Trans'!$T$4)*((-SIN(-banglerad)*K122+COS(-banglerad)*I122)*1000+'Coords-Trans'!$K$8-'Coords-Trans'!$K$10))</f>
        <v>1015.4534224770759</v>
      </c>
      <c r="H122" s="291">
        <f t="shared" si="34"/>
        <v>-422.47946124509252</v>
      </c>
      <c r="I122" s="372">
        <f t="shared" si="26"/>
        <v>0.11885546531614156</v>
      </c>
      <c r="J122" s="124">
        <f t="shared" si="27"/>
        <v>-0.4224794612450925</v>
      </c>
      <c r="K122" s="314">
        <f t="shared" si="28"/>
        <v>106.51699176438652</v>
      </c>
      <c r="L122" s="372">
        <f t="shared" si="41"/>
        <v>0.12782929888109465</v>
      </c>
      <c r="M122" s="124">
        <f t="shared" si="42"/>
        <v>-0.4224794612450925</v>
      </c>
      <c r="N122" s="314">
        <f t="shared" si="43"/>
        <v>108.61697259056355</v>
      </c>
      <c r="O122" s="125">
        <v>2.1</v>
      </c>
      <c r="P122" s="484">
        <f t="shared" si="33"/>
        <v>108.62121685605331</v>
      </c>
      <c r="Q122" s="122" t="s">
        <v>33</v>
      </c>
      <c r="R122" s="126" t="s">
        <v>33</v>
      </c>
      <c r="S122" s="168">
        <v>114.66</v>
      </c>
      <c r="T122" s="168">
        <v>114.66</v>
      </c>
      <c r="U122" s="168">
        <v>73.89</v>
      </c>
      <c r="V122" s="168">
        <v>73.89</v>
      </c>
      <c r="W122" s="122">
        <v>2.5</v>
      </c>
      <c r="X122" s="123">
        <v>2.5</v>
      </c>
      <c r="Y122" s="123">
        <v>2</v>
      </c>
      <c r="Z122" s="126">
        <v>2</v>
      </c>
      <c r="AA122" s="438" t="s">
        <v>31</v>
      </c>
      <c r="AB122" s="126"/>
    </row>
    <row r="123" spans="1:33" x14ac:dyDescent="0.2">
      <c r="A123" s="127" t="s">
        <v>43</v>
      </c>
      <c r="B123" s="128" t="s">
        <v>95</v>
      </c>
      <c r="C123" s="128"/>
      <c r="D123" s="371">
        <v>0</v>
      </c>
      <c r="E123" s="129">
        <f t="shared" si="32"/>
        <v>-0.24484016865061223</v>
      </c>
      <c r="F123" s="256">
        <f>(COS('Coords-Trans'!$T$4)*((COS(-banglerad)*K123+SIN(-banglerad)*I123)*1000+'Coords-Trans'!$J$8-'Coords-Trans'!$J$10)+SIN('Coords-Trans'!$T$4)*((-SIN(-banglerad)*K123+COS(-banglerad)*I123)*1000+'Coords-Trans'!$K$8-'Coords-Trans'!$K$10))</f>
        <v>108587.63491034241</v>
      </c>
      <c r="G123" s="223">
        <f>(-SIN('Coords-Trans'!$T$4)*((COS(-banglerad)*K123+SIN(-banglerad)*I123)*1000+'Coords-Trans'!$J$8-'Coords-Trans'!$J$10)+COS('Coords-Trans'!$T$4)*((-SIN(-banglerad)*K123+COS(-banglerad)*I123)*1000+'Coords-Trans'!$K$8-'Coords-Trans'!$K$10))</f>
        <v>1042.7524715714753</v>
      </c>
      <c r="H123" s="290">
        <f t="shared" si="34"/>
        <v>-422.47946124509252</v>
      </c>
      <c r="I123" s="371">
        <f t="shared" si="26"/>
        <v>0.12782929888109465</v>
      </c>
      <c r="J123" s="129">
        <f t="shared" si="27"/>
        <v>-0.4224794612450925</v>
      </c>
      <c r="K123" s="313">
        <f t="shared" si="28"/>
        <v>108.61697259056355</v>
      </c>
      <c r="L123" s="371">
        <f t="shared" si="41"/>
        <v>0.12783357213517321</v>
      </c>
      <c r="M123" s="129">
        <f t="shared" si="42"/>
        <v>-0.4224794612450925</v>
      </c>
      <c r="N123" s="313">
        <f t="shared" si="43"/>
        <v>108.61797258143315</v>
      </c>
      <c r="O123" s="130">
        <v>1E-3</v>
      </c>
      <c r="P123" s="483">
        <f t="shared" si="33"/>
        <v>108.62221685605331</v>
      </c>
      <c r="Q123" s="127"/>
      <c r="R123" s="131"/>
      <c r="S123" s="169"/>
      <c r="T123" s="169"/>
      <c r="U123" s="169"/>
      <c r="V123" s="169"/>
      <c r="W123" s="127"/>
      <c r="X123" s="128"/>
      <c r="Y123" s="128"/>
      <c r="Z123" s="131"/>
      <c r="AA123" s="437"/>
      <c r="AB123" s="131"/>
    </row>
    <row r="124" spans="1:33" ht="16" thickBot="1" x14ac:dyDescent="0.25">
      <c r="A124" s="117">
        <v>6</v>
      </c>
      <c r="B124" s="118" t="s">
        <v>95</v>
      </c>
      <c r="C124" s="118" t="s">
        <v>228</v>
      </c>
      <c r="D124" s="370">
        <v>0</v>
      </c>
      <c r="E124" s="119">
        <f t="shared" si="32"/>
        <v>-0.24484016865061223</v>
      </c>
      <c r="F124" s="255">
        <f>(COS('Coords-Trans'!$T$4)*((COS(-banglerad)*K124+SIN(-banglerad)*I124)*1000+'Coords-Trans'!$J$8-'Coords-Trans'!$J$10)+SIN('Coords-Trans'!$T$4)*((-SIN(-banglerad)*K124+COS(-banglerad)*I124)*1000+'Coords-Trans'!$K$8-'Coords-Trans'!$K$10))</f>
        <v>108588.63482584471</v>
      </c>
      <c r="G124" s="220">
        <f>(-SIN('Coords-Trans'!$T$4)*((COS(-banglerad)*K124+SIN(-banglerad)*I124)*1000+'Coords-Trans'!$J$8-'Coords-Trans'!$J$10)+COS('Coords-Trans'!$T$4)*((-SIN(-banglerad)*K124+COS(-banglerad)*I124)*1000+'Coords-Trans'!$K$8-'Coords-Trans'!$K$10))</f>
        <v>1042.7654711186624</v>
      </c>
      <c r="H124" s="289">
        <f t="shared" si="34"/>
        <v>-422.47946124509252</v>
      </c>
      <c r="I124" s="370">
        <f t="shared" si="26"/>
        <v>0.12783357213517321</v>
      </c>
      <c r="J124" s="119">
        <f t="shared" si="27"/>
        <v>-0.4224794612450925</v>
      </c>
      <c r="K124" s="312">
        <f t="shared" si="28"/>
        <v>108.61797258143315</v>
      </c>
      <c r="L124" s="370">
        <f t="shared" si="41"/>
        <v>0.13680740570012631</v>
      </c>
      <c r="M124" s="119">
        <f t="shared" si="42"/>
        <v>-0.4224794612450925</v>
      </c>
      <c r="N124" s="312">
        <f t="shared" si="43"/>
        <v>110.71795340761018</v>
      </c>
      <c r="O124" s="120">
        <v>2.1</v>
      </c>
      <c r="P124" s="482">
        <f t="shared" si="33"/>
        <v>110.72221685605331</v>
      </c>
      <c r="Q124" s="117" t="s">
        <v>33</v>
      </c>
      <c r="R124" s="121" t="s">
        <v>33</v>
      </c>
      <c r="S124" s="166">
        <v>114.66</v>
      </c>
      <c r="T124" s="166">
        <v>114.66</v>
      </c>
      <c r="U124" s="166">
        <v>73.89</v>
      </c>
      <c r="V124" s="166">
        <v>73.89</v>
      </c>
      <c r="W124" s="117">
        <v>2.5</v>
      </c>
      <c r="X124" s="118">
        <v>2.5</v>
      </c>
      <c r="Y124" s="118">
        <v>2</v>
      </c>
      <c r="Z124" s="121">
        <v>2</v>
      </c>
      <c r="AA124" s="436" t="s">
        <v>31</v>
      </c>
      <c r="AB124" s="121"/>
    </row>
    <row r="125" spans="1:33" ht="16" thickBot="1" x14ac:dyDescent="0.25">
      <c r="A125" s="19" t="s">
        <v>43</v>
      </c>
      <c r="B125" s="19"/>
      <c r="C125" s="19"/>
      <c r="D125" s="371">
        <v>0</v>
      </c>
      <c r="E125" s="35">
        <f t="shared" si="32"/>
        <v>-0.24484016865061223</v>
      </c>
      <c r="F125" s="256">
        <f>(COS('Coords-Trans'!$T$4)*((COS(-banglerad)*K125+SIN(-banglerad)*I125)*1000+'Coords-Trans'!$J$8-'Coords-Trans'!$J$10)+SIN('Coords-Trans'!$T$4)*((-SIN(-banglerad)*K125+COS(-banglerad)*I125)*1000+'Coords-Trans'!$K$8-'Coords-Trans'!$K$10))</f>
        <v>110688.45738070941</v>
      </c>
      <c r="G125" s="221">
        <f>(-SIN('Coords-Trans'!$T$4)*((COS(-banglerad)*K125+SIN(-banglerad)*I125)*1000+'Coords-Trans'!$J$8-'Coords-Trans'!$J$10)+COS('Coords-Trans'!$T$4)*((-SIN(-banglerad)*K125+COS(-banglerad)*I125)*1000+'Coords-Trans'!$K$8-'Coords-Trans'!$K$10))</f>
        <v>1070.0645202130909</v>
      </c>
      <c r="H125" s="290">
        <f t="shared" si="34"/>
        <v>-422.47946124509252</v>
      </c>
      <c r="I125" s="371">
        <f t="shared" si="26"/>
        <v>0.13680740570012631</v>
      </c>
      <c r="J125" s="35">
        <f t="shared" si="27"/>
        <v>-0.4224794612450925</v>
      </c>
      <c r="K125" s="313">
        <f t="shared" si="28"/>
        <v>110.71795340761018</v>
      </c>
      <c r="L125" s="371">
        <f t="shared" si="41"/>
        <v>0.13681595220828341</v>
      </c>
      <c r="M125" s="35">
        <f t="shared" si="42"/>
        <v>-0.4224794612450925</v>
      </c>
      <c r="N125" s="313">
        <f t="shared" si="43"/>
        <v>110.7199533893494</v>
      </c>
      <c r="O125" s="130">
        <v>2E-3</v>
      </c>
      <c r="P125" s="483">
        <f t="shared" si="33"/>
        <v>110.7242168560533</v>
      </c>
      <c r="Q125" s="127"/>
      <c r="R125" s="131"/>
      <c r="S125" s="167"/>
      <c r="T125" s="167"/>
      <c r="U125" s="167"/>
      <c r="V125" s="167"/>
      <c r="W125" s="127"/>
      <c r="X125" s="128"/>
      <c r="Y125" s="128"/>
      <c r="Z125" s="131"/>
      <c r="AA125" s="437"/>
      <c r="AB125" s="19"/>
    </row>
    <row r="126" spans="1:33" x14ac:dyDescent="0.2">
      <c r="A126" s="132">
        <v>7</v>
      </c>
      <c r="B126" s="133" t="s">
        <v>96</v>
      </c>
      <c r="C126" s="133" t="s">
        <v>229</v>
      </c>
      <c r="D126" s="373">
        <v>0</v>
      </c>
      <c r="E126" s="134">
        <f t="shared" si="32"/>
        <v>-0.24484016865061223</v>
      </c>
      <c r="F126" s="258">
        <f>(COS('Coords-Trans'!$T$4)*((COS(-banglerad)*K126+SIN(-banglerad)*I126)*1000+'Coords-Trans'!$J$8-'Coords-Trans'!$J$10)+SIN('Coords-Trans'!$T$4)*((-SIN(-banglerad)*K126+COS(-banglerad)*I126)*1000+'Coords-Trans'!$K$8-'Coords-Trans'!$K$10))</f>
        <v>110690.45721171406</v>
      </c>
      <c r="G126" s="224">
        <f>(-SIN('Coords-Trans'!$T$4)*((COS(-banglerad)*K126+SIN(-banglerad)*I126)*1000+'Coords-Trans'!$J$8-'Coords-Trans'!$J$10)+COS('Coords-Trans'!$T$4)*((-SIN(-banglerad)*K126+COS(-banglerad)*I126)*1000+'Coords-Trans'!$K$8-'Coords-Trans'!$K$10))</f>
        <v>1070.0905193074504</v>
      </c>
      <c r="H126" s="292">
        <f t="shared" si="34"/>
        <v>-422.47946124509252</v>
      </c>
      <c r="I126" s="373">
        <f t="shared" si="26"/>
        <v>0.13681595220828341</v>
      </c>
      <c r="J126" s="134">
        <f t="shared" si="27"/>
        <v>-0.4224794612450925</v>
      </c>
      <c r="K126" s="315">
        <f t="shared" si="28"/>
        <v>110.7199533893494</v>
      </c>
      <c r="L126" s="373">
        <f t="shared" si="41"/>
        <v>0.14536246036538158</v>
      </c>
      <c r="M126" s="134">
        <f t="shared" si="42"/>
        <v>-0.4224794612450925</v>
      </c>
      <c r="N126" s="315">
        <f t="shared" si="43"/>
        <v>112.71993512856561</v>
      </c>
      <c r="O126" s="135">
        <v>2</v>
      </c>
      <c r="P126" s="485">
        <f t="shared" si="33"/>
        <v>112.7242168560533</v>
      </c>
      <c r="Q126" s="132" t="s">
        <v>33</v>
      </c>
      <c r="R126" s="136" t="s">
        <v>33</v>
      </c>
      <c r="S126" s="170">
        <f>1000*SQRT((1-(K126-$K$126-$AF$135)^2/$AD$135/$AD$135)*$AE$135*$AE$135)+$AG$135</f>
        <v>114.5</v>
      </c>
      <c r="T126" s="170">
        <f>1000*SQRT((1-(N126-$K$126-$AF$135)^2/$AD$135/$AD$135)*$AE$135*$AE$135)+$AG$135</f>
        <v>114.40292739902422</v>
      </c>
      <c r="U126" s="170">
        <v>73.89</v>
      </c>
      <c r="V126" s="170">
        <v>73.89</v>
      </c>
      <c r="W126" s="132">
        <v>3</v>
      </c>
      <c r="X126" s="133">
        <v>3</v>
      </c>
      <c r="Y126" s="133">
        <v>2</v>
      </c>
      <c r="Z126" s="136">
        <v>2</v>
      </c>
      <c r="AA126" s="439" t="s">
        <v>31</v>
      </c>
      <c r="AB126" s="136" t="s">
        <v>108</v>
      </c>
    </row>
    <row r="127" spans="1:33" x14ac:dyDescent="0.2">
      <c r="A127" s="137" t="s">
        <v>43</v>
      </c>
      <c r="B127" s="138" t="s">
        <v>96</v>
      </c>
      <c r="C127" s="138"/>
      <c r="D127" s="374">
        <v>0</v>
      </c>
      <c r="E127" s="139">
        <f t="shared" si="32"/>
        <v>-0.24484016865061223</v>
      </c>
      <c r="F127" s="259">
        <f>(COS('Coords-Trans'!$T$4)*((COS(-banglerad)*K127+SIN(-banglerad)*I127)*1000+'Coords-Trans'!$J$8-'Coords-Trans'!$J$10)+SIN('Coords-Trans'!$T$4)*((-SIN(-banglerad)*K127+COS(-banglerad)*I127)*1000+'Coords-Trans'!$K$8-'Coords-Trans'!$K$10))</f>
        <v>112690.28821634711</v>
      </c>
      <c r="G127" s="225">
        <f>(-SIN('Coords-Trans'!$T$4)*((COS(-banglerad)*K127+SIN(-banglerad)*I127)*1000+'Coords-Trans'!$J$8-'Coords-Trans'!$J$10)+COS('Coords-Trans'!$T$4)*((-SIN(-banglerad)*K127+COS(-banglerad)*I127)*1000+'Coords-Trans'!$K$8-'Coords-Trans'!$K$10))</f>
        <v>1096.0896136830706</v>
      </c>
      <c r="H127" s="293">
        <f t="shared" si="34"/>
        <v>-422.47946124509252</v>
      </c>
      <c r="I127" s="374">
        <f t="shared" si="26"/>
        <v>0.14536246036538158</v>
      </c>
      <c r="J127" s="139">
        <f t="shared" si="27"/>
        <v>-0.4224794612450925</v>
      </c>
      <c r="K127" s="316">
        <f t="shared" si="28"/>
        <v>112.71993512856561</v>
      </c>
      <c r="L127" s="374">
        <f t="shared" si="41"/>
        <v>0.14536673361946015</v>
      </c>
      <c r="M127" s="139">
        <f t="shared" si="42"/>
        <v>-0.4224794612450925</v>
      </c>
      <c r="N127" s="316">
        <f t="shared" si="43"/>
        <v>112.72093511943521</v>
      </c>
      <c r="O127" s="140">
        <v>1E-3</v>
      </c>
      <c r="P127" s="486">
        <f t="shared" si="33"/>
        <v>112.72521685605331</v>
      </c>
      <c r="Q127" s="137"/>
      <c r="R127" s="141"/>
      <c r="S127" s="171"/>
      <c r="T127" s="171"/>
      <c r="U127" s="171"/>
      <c r="V127" s="171"/>
      <c r="W127" s="137"/>
      <c r="X127" s="138"/>
      <c r="Y127" s="138"/>
      <c r="Z127" s="141"/>
      <c r="AA127" s="440"/>
      <c r="AB127" s="141" t="s">
        <v>109</v>
      </c>
    </row>
    <row r="128" spans="1:33" ht="16" thickBot="1" x14ac:dyDescent="0.25">
      <c r="A128" s="142">
        <v>7</v>
      </c>
      <c r="B128" s="143" t="s">
        <v>96</v>
      </c>
      <c r="C128" s="143" t="s">
        <v>230</v>
      </c>
      <c r="D128" s="375">
        <v>0</v>
      </c>
      <c r="E128" s="144">
        <f t="shared" si="32"/>
        <v>-0.24484016865061223</v>
      </c>
      <c r="F128" s="260">
        <f>(COS('Coords-Trans'!$T$4)*((COS(-banglerad)*K128+SIN(-banglerad)*I128)*1000+'Coords-Trans'!$J$8-'Coords-Trans'!$J$10)+SIN('Coords-Trans'!$T$4)*((-SIN(-banglerad)*K128+COS(-banglerad)*I128)*1000+'Coords-Trans'!$K$8-'Coords-Trans'!$K$10))</f>
        <v>112691.28813184942</v>
      </c>
      <c r="G128" s="226">
        <f>(-SIN('Coords-Trans'!$T$4)*((COS(-banglerad)*K128+SIN(-banglerad)*I128)*1000+'Coords-Trans'!$J$8-'Coords-Trans'!$J$10)+COS('Coords-Trans'!$T$4)*((-SIN(-banglerad)*K128+COS(-banglerad)*I128)*1000+'Coords-Trans'!$K$8-'Coords-Trans'!$K$10))</f>
        <v>1096.102613230265</v>
      </c>
      <c r="H128" s="294">
        <f t="shared" si="34"/>
        <v>-422.47946124509252</v>
      </c>
      <c r="I128" s="375">
        <f t="shared" si="26"/>
        <v>0.14536673361946015</v>
      </c>
      <c r="J128" s="144">
        <f t="shared" si="27"/>
        <v>-0.4224794612450925</v>
      </c>
      <c r="K128" s="317">
        <f t="shared" si="28"/>
        <v>112.72093511943521</v>
      </c>
      <c r="L128" s="375">
        <f t="shared" si="41"/>
        <v>0.15391324177655832</v>
      </c>
      <c r="M128" s="144">
        <f t="shared" si="42"/>
        <v>-0.4224794612450925</v>
      </c>
      <c r="N128" s="317">
        <f t="shared" si="43"/>
        <v>114.72091685865142</v>
      </c>
      <c r="O128" s="145">
        <v>2</v>
      </c>
      <c r="P128" s="487">
        <f t="shared" si="33"/>
        <v>114.72521685605331</v>
      </c>
      <c r="Q128" s="142" t="s">
        <v>33</v>
      </c>
      <c r="R128" s="146" t="s">
        <v>33</v>
      </c>
      <c r="S128" s="172">
        <f>1000*SQRT((1-(K128-$K$126-$AF$135)^2/$AD$135/$AD$135)*$AE$135*$AE$135)+$AG$135</f>
        <v>114.40283026091977</v>
      </c>
      <c r="T128" s="172">
        <f>1000*SQRT((1-(N128-$K$126-$AF$135)^2/$AD$135/$AD$135)*$AE$135*$AE$135)+$AG$135</f>
        <v>114.11101937983683</v>
      </c>
      <c r="U128" s="172">
        <v>73.89</v>
      </c>
      <c r="V128" s="172">
        <v>73.89</v>
      </c>
      <c r="W128" s="142">
        <v>3</v>
      </c>
      <c r="X128" s="143">
        <v>3</v>
      </c>
      <c r="Y128" s="143">
        <v>2</v>
      </c>
      <c r="Z128" s="146">
        <v>2</v>
      </c>
      <c r="AA128" s="441" t="s">
        <v>31</v>
      </c>
      <c r="AB128" s="146"/>
    </row>
    <row r="129" spans="1:33" ht="16" thickBot="1" x14ac:dyDescent="0.25">
      <c r="A129" s="20" t="s">
        <v>43</v>
      </c>
      <c r="B129" s="20"/>
      <c r="C129" s="20"/>
      <c r="D129" s="374">
        <v>0</v>
      </c>
      <c r="E129" s="36">
        <f t="shared" si="32"/>
        <v>-0.24484016865061223</v>
      </c>
      <c r="F129" s="259">
        <f>(COS('Coords-Trans'!$T$4)*((COS(-banglerad)*K129+SIN(-banglerad)*I129)*1000+'Coords-Trans'!$J$8-'Coords-Trans'!$J$10)+SIN('Coords-Trans'!$T$4)*((-SIN(-banglerad)*K129+COS(-banglerad)*I129)*1000+'Coords-Trans'!$K$8-'Coords-Trans'!$K$10))</f>
        <v>114691.11913648248</v>
      </c>
      <c r="G129" s="227">
        <f>(-SIN('Coords-Trans'!$T$4)*((COS(-banglerad)*K129+SIN(-banglerad)*I129)*1000+'Coords-Trans'!$J$8-'Coords-Trans'!$J$10)+COS('Coords-Trans'!$T$4)*((-SIN(-banglerad)*K129+COS(-banglerad)*I129)*1000+'Coords-Trans'!$K$8-'Coords-Trans'!$K$10))</f>
        <v>1122.1017076058852</v>
      </c>
      <c r="H129" s="293">
        <f t="shared" si="34"/>
        <v>-422.47946124509252</v>
      </c>
      <c r="I129" s="374">
        <f t="shared" si="26"/>
        <v>0.15391324177655832</v>
      </c>
      <c r="J129" s="36">
        <f t="shared" si="27"/>
        <v>-0.4224794612450925</v>
      </c>
      <c r="K129" s="316">
        <f t="shared" si="28"/>
        <v>114.72091685865142</v>
      </c>
      <c r="L129" s="374">
        <f t="shared" si="41"/>
        <v>0.15392178828471542</v>
      </c>
      <c r="M129" s="36">
        <f t="shared" si="42"/>
        <v>-0.4224794612450925</v>
      </c>
      <c r="N129" s="316">
        <f t="shared" si="43"/>
        <v>114.72291684039064</v>
      </c>
      <c r="O129" s="140">
        <v>2E-3</v>
      </c>
      <c r="P129" s="486">
        <f t="shared" si="33"/>
        <v>114.7272168560533</v>
      </c>
      <c r="Q129" s="137"/>
      <c r="R129" s="141"/>
      <c r="S129" s="173"/>
      <c r="T129" s="173"/>
      <c r="U129" s="173"/>
      <c r="V129" s="173"/>
      <c r="W129" s="137"/>
      <c r="X129" s="138"/>
      <c r="Y129" s="138"/>
      <c r="Z129" s="141"/>
      <c r="AA129" s="440"/>
      <c r="AB129" s="20"/>
    </row>
    <row r="130" spans="1:33" ht="16" thickBot="1" x14ac:dyDescent="0.25">
      <c r="A130" s="132">
        <v>7</v>
      </c>
      <c r="B130" s="133" t="s">
        <v>97</v>
      </c>
      <c r="C130" s="133" t="s">
        <v>231</v>
      </c>
      <c r="D130" s="373">
        <v>0</v>
      </c>
      <c r="E130" s="134">
        <f t="shared" si="32"/>
        <v>-0.24484016865061223</v>
      </c>
      <c r="F130" s="258">
        <f>(COS('Coords-Trans'!$T$4)*((COS(-banglerad)*K130+SIN(-banglerad)*I130)*1000+'Coords-Trans'!$J$8-'Coords-Trans'!$J$10)+SIN('Coords-Trans'!$T$4)*((-SIN(-banglerad)*K130+COS(-banglerad)*I130)*1000+'Coords-Trans'!$K$8-'Coords-Trans'!$K$10))</f>
        <v>114693.1189674871</v>
      </c>
      <c r="G130" s="224">
        <f>(-SIN('Coords-Trans'!$T$4)*((COS(-banglerad)*K130+SIN(-banglerad)*I130)*1000+'Coords-Trans'!$J$8-'Coords-Trans'!$J$10)+COS('Coords-Trans'!$T$4)*((-SIN(-banglerad)*K130+COS(-banglerad)*I130)*1000+'Coords-Trans'!$K$8-'Coords-Trans'!$K$10))</f>
        <v>1122.1277067002738</v>
      </c>
      <c r="H130" s="292">
        <f t="shared" si="34"/>
        <v>-422.47946124509252</v>
      </c>
      <c r="I130" s="373">
        <f t="shared" ref="I130:I175" si="54">L129</f>
        <v>0.15392178828471542</v>
      </c>
      <c r="J130" s="134">
        <f t="shared" ref="J130:J175" si="55">M129</f>
        <v>-0.4224794612450925</v>
      </c>
      <c r="K130" s="315">
        <f t="shared" ref="K130:K174" si="56">N129</f>
        <v>114.72291684039064</v>
      </c>
      <c r="L130" s="373">
        <f t="shared" si="41"/>
        <v>0.1624682964418136</v>
      </c>
      <c r="M130" s="134">
        <f t="shared" si="42"/>
        <v>-0.4224794612450925</v>
      </c>
      <c r="N130" s="315">
        <f t="shared" si="43"/>
        <v>116.72289857960685</v>
      </c>
      <c r="O130" s="135">
        <v>2</v>
      </c>
      <c r="P130" s="485">
        <f t="shared" si="33"/>
        <v>116.7272168560533</v>
      </c>
      <c r="Q130" s="132" t="s">
        <v>33</v>
      </c>
      <c r="R130" s="136" t="s">
        <v>33</v>
      </c>
      <c r="S130" s="170">
        <f>1000*SQRT((1-(K130-$K$126-$AF$135)^2/$AD$135/$AD$135)*$AE$135*$AE$135)+$AG$135</f>
        <v>114.11062973559895</v>
      </c>
      <c r="T130" s="170">
        <f>1000*SQRT((1-(N130-$K$126-$AF$135)^2/$AD$135/$AD$135)*$AE$135*$AE$135)+$AG$135</f>
        <v>113.62248080982644</v>
      </c>
      <c r="U130" s="170">
        <v>73.89</v>
      </c>
      <c r="V130" s="170">
        <v>73.89</v>
      </c>
      <c r="W130" s="132">
        <v>3</v>
      </c>
      <c r="X130" s="133">
        <v>3</v>
      </c>
      <c r="Y130" s="133">
        <v>2</v>
      </c>
      <c r="Z130" s="136">
        <v>2</v>
      </c>
      <c r="AA130" s="439" t="s">
        <v>31</v>
      </c>
      <c r="AB130" s="136"/>
    </row>
    <row r="131" spans="1:33" x14ac:dyDescent="0.2">
      <c r="A131" s="137" t="s">
        <v>43</v>
      </c>
      <c r="B131" s="138" t="s">
        <v>97</v>
      </c>
      <c r="C131" s="138"/>
      <c r="D131" s="374">
        <v>0</v>
      </c>
      <c r="E131" s="139">
        <f t="shared" ref="E131:E143" si="57">$E$65</f>
        <v>-0.24484016865061223</v>
      </c>
      <c r="F131" s="259">
        <f>(COS('Coords-Trans'!$T$4)*((COS(-banglerad)*K131+SIN(-banglerad)*I131)*1000+'Coords-Trans'!$J$8-'Coords-Trans'!$J$10)+SIN('Coords-Trans'!$T$4)*((-SIN(-banglerad)*K131+COS(-banglerad)*I131)*1000+'Coords-Trans'!$K$8-'Coords-Trans'!$K$10))</f>
        <v>116692.94997212014</v>
      </c>
      <c r="G131" s="225">
        <f>(-SIN('Coords-Trans'!$T$4)*((COS(-banglerad)*K131+SIN(-banglerad)*I131)*1000+'Coords-Trans'!$J$8-'Coords-Trans'!$J$10)+COS('Coords-Trans'!$T$4)*((-SIN(-banglerad)*K131+COS(-banglerad)*I131)*1000+'Coords-Trans'!$K$8-'Coords-Trans'!$K$10))</f>
        <v>1148.126801075894</v>
      </c>
      <c r="H131" s="293">
        <f t="shared" si="34"/>
        <v>-422.47946124509252</v>
      </c>
      <c r="I131" s="374">
        <f t="shared" si="54"/>
        <v>0.1624682964418136</v>
      </c>
      <c r="J131" s="139">
        <f t="shared" si="55"/>
        <v>-0.4224794612450925</v>
      </c>
      <c r="K131" s="316">
        <f t="shared" si="56"/>
        <v>116.72289857960685</v>
      </c>
      <c r="L131" s="374">
        <f t="shared" si="41"/>
        <v>0.16247256969589216</v>
      </c>
      <c r="M131" s="139">
        <f t="shared" si="42"/>
        <v>-0.4224794612450925</v>
      </c>
      <c r="N131" s="316">
        <f t="shared" si="43"/>
        <v>116.72389857047645</v>
      </c>
      <c r="O131" s="140">
        <v>1E-3</v>
      </c>
      <c r="P131" s="486">
        <f t="shared" ref="P131:P175" si="58">P130+O131</f>
        <v>116.72821685605331</v>
      </c>
      <c r="Q131" s="137"/>
      <c r="R131" s="141"/>
      <c r="S131" s="171"/>
      <c r="T131" s="171"/>
      <c r="U131" s="171"/>
      <c r="V131" s="171"/>
      <c r="W131" s="137"/>
      <c r="X131" s="138"/>
      <c r="Y131" s="138"/>
      <c r="Z131" s="141"/>
      <c r="AA131" s="440"/>
      <c r="AB131" s="141"/>
      <c r="AC131" s="12"/>
      <c r="AD131" s="12" t="s">
        <v>38</v>
      </c>
      <c r="AE131" s="12"/>
      <c r="AF131" s="12"/>
      <c r="AG131" s="13"/>
    </row>
    <row r="132" spans="1:33" ht="16" thickBot="1" x14ac:dyDescent="0.25">
      <c r="A132" s="142">
        <v>7</v>
      </c>
      <c r="B132" s="143" t="s">
        <v>97</v>
      </c>
      <c r="C132" s="143" t="s">
        <v>232</v>
      </c>
      <c r="D132" s="375">
        <v>0</v>
      </c>
      <c r="E132" s="144">
        <f t="shared" si="57"/>
        <v>-0.24484016865061223</v>
      </c>
      <c r="F132" s="260">
        <f>(COS('Coords-Trans'!$T$4)*((COS(-banglerad)*K132+SIN(-banglerad)*I132)*1000+'Coords-Trans'!$J$8-'Coords-Trans'!$J$10)+SIN('Coords-Trans'!$T$4)*((-SIN(-banglerad)*K132+COS(-banglerad)*I132)*1000+'Coords-Trans'!$K$8-'Coords-Trans'!$K$10))</f>
        <v>116693.94988762247</v>
      </c>
      <c r="G132" s="226">
        <f>(-SIN('Coords-Trans'!$T$4)*((COS(-banglerad)*K132+SIN(-banglerad)*I132)*1000+'Coords-Trans'!$J$8-'Coords-Trans'!$J$10)+COS('Coords-Trans'!$T$4)*((-SIN(-banglerad)*K132+COS(-banglerad)*I132)*1000+'Coords-Trans'!$K$8-'Coords-Trans'!$K$10))</f>
        <v>1148.1398006230665</v>
      </c>
      <c r="H132" s="294">
        <f t="shared" si="34"/>
        <v>-422.47946124509252</v>
      </c>
      <c r="I132" s="375">
        <f t="shared" si="54"/>
        <v>0.16247256969589216</v>
      </c>
      <c r="J132" s="144">
        <f t="shared" si="55"/>
        <v>-0.4224794612450925</v>
      </c>
      <c r="K132" s="317">
        <f t="shared" si="56"/>
        <v>116.72389857047645</v>
      </c>
      <c r="L132" s="375">
        <f t="shared" si="41"/>
        <v>0.17101907785299034</v>
      </c>
      <c r="M132" s="144">
        <f t="shared" si="42"/>
        <v>-0.4224794612450925</v>
      </c>
      <c r="N132" s="317">
        <f t="shared" si="43"/>
        <v>118.72388030969266</v>
      </c>
      <c r="O132" s="145">
        <v>2</v>
      </c>
      <c r="P132" s="487">
        <f t="shared" si="58"/>
        <v>118.72821685605331</v>
      </c>
      <c r="Q132" s="142" t="s">
        <v>33</v>
      </c>
      <c r="R132" s="146" t="s">
        <v>33</v>
      </c>
      <c r="S132" s="172">
        <f>1000*SQRT((1-(K132-$K$126-$AF$135)^2/$AD$135/$AD$135)*$AE$135*$AE$135)+$AG$135</f>
        <v>113.62218729582008</v>
      </c>
      <c r="T132" s="172">
        <f>1000*SQRT((1-(N132-$K$126-$AF$135)^2/$AD$135/$AD$135)*$AE$135*$AE$135)+$AG$135</f>
        <v>112.93525201344845</v>
      </c>
      <c r="U132" s="172">
        <v>73.89</v>
      </c>
      <c r="V132" s="172">
        <v>73.89</v>
      </c>
      <c r="W132" s="142">
        <v>3</v>
      </c>
      <c r="X132" s="143">
        <v>3</v>
      </c>
      <c r="Y132" s="143">
        <v>2</v>
      </c>
      <c r="Z132" s="146">
        <v>2</v>
      </c>
      <c r="AA132" s="441" t="s">
        <v>31</v>
      </c>
      <c r="AB132" s="146"/>
      <c r="AC132" s="15"/>
      <c r="AD132" s="15"/>
      <c r="AE132" s="15"/>
      <c r="AF132" s="15"/>
      <c r="AG132" s="16"/>
    </row>
    <row r="133" spans="1:33" ht="16" thickBot="1" x14ac:dyDescent="0.25">
      <c r="A133" s="20" t="s">
        <v>43</v>
      </c>
      <c r="B133" s="20"/>
      <c r="C133" s="20"/>
      <c r="D133" s="374">
        <v>0</v>
      </c>
      <c r="E133" s="36">
        <f t="shared" si="57"/>
        <v>-0.24484016865061223</v>
      </c>
      <c r="F133" s="259">
        <f>(COS('Coords-Trans'!$T$4)*((COS(-banglerad)*K133+SIN(-banglerad)*I133)*1000+'Coords-Trans'!$J$8-'Coords-Trans'!$J$10)+SIN('Coords-Trans'!$T$4)*((-SIN(-banglerad)*K133+COS(-banglerad)*I133)*1000+'Coords-Trans'!$K$8-'Coords-Trans'!$K$10))</f>
        <v>118693.7808922555</v>
      </c>
      <c r="G133" s="227">
        <f>(-SIN('Coords-Trans'!$T$4)*((COS(-banglerad)*K133+SIN(-banglerad)*I133)*1000+'Coords-Trans'!$J$8-'Coords-Trans'!$J$10)+COS('Coords-Trans'!$T$4)*((-SIN(-banglerad)*K133+COS(-banglerad)*I133)*1000+'Coords-Trans'!$K$8-'Coords-Trans'!$K$10))</f>
        <v>1174.1388949987086</v>
      </c>
      <c r="H133" s="293">
        <f t="shared" ref="H133:H175" si="59">(J133*1000)</f>
        <v>-422.47946124509252</v>
      </c>
      <c r="I133" s="374">
        <f t="shared" si="54"/>
        <v>0.17101907785299034</v>
      </c>
      <c r="J133" s="36">
        <f t="shared" si="55"/>
        <v>-0.4224794612450925</v>
      </c>
      <c r="K133" s="316">
        <f t="shared" si="56"/>
        <v>118.72388030969266</v>
      </c>
      <c r="L133" s="374">
        <f t="shared" si="41"/>
        <v>0.17102762436114743</v>
      </c>
      <c r="M133" s="36">
        <f t="shared" si="42"/>
        <v>-0.4224794612450925</v>
      </c>
      <c r="N133" s="316">
        <f t="shared" si="43"/>
        <v>118.72588029143188</v>
      </c>
      <c r="O133" s="140">
        <v>2E-3</v>
      </c>
      <c r="P133" s="486">
        <f t="shared" si="58"/>
        <v>118.7302168560533</v>
      </c>
      <c r="Q133" s="137"/>
      <c r="R133" s="141"/>
      <c r="S133" s="173"/>
      <c r="T133" s="173"/>
      <c r="U133" s="173"/>
      <c r="V133" s="173"/>
      <c r="W133" s="137"/>
      <c r="X133" s="138"/>
      <c r="Y133" s="138"/>
      <c r="Z133" s="141"/>
      <c r="AA133" s="440"/>
      <c r="AB133" s="20"/>
      <c r="AC133" s="14"/>
      <c r="AD133" s="15" t="s">
        <v>40</v>
      </c>
      <c r="AE133" s="15" t="s">
        <v>35</v>
      </c>
      <c r="AF133" s="15" t="s">
        <v>36</v>
      </c>
      <c r="AG133" s="16" t="s">
        <v>37</v>
      </c>
    </row>
    <row r="134" spans="1:33" x14ac:dyDescent="0.2">
      <c r="A134" s="132">
        <v>7</v>
      </c>
      <c r="B134" s="133" t="s">
        <v>98</v>
      </c>
      <c r="C134" s="133" t="s">
        <v>233</v>
      </c>
      <c r="D134" s="373">
        <v>0</v>
      </c>
      <c r="E134" s="134">
        <f t="shared" si="57"/>
        <v>-0.24484016865061223</v>
      </c>
      <c r="F134" s="258">
        <f>(COS('Coords-Trans'!$T$4)*((COS(-banglerad)*K134+SIN(-banglerad)*I134)*1000+'Coords-Trans'!$J$8-'Coords-Trans'!$J$10)+SIN('Coords-Trans'!$T$4)*((-SIN(-banglerad)*K134+COS(-banglerad)*I134)*1000+'Coords-Trans'!$K$8-'Coords-Trans'!$K$10))</f>
        <v>118695.78072326015</v>
      </c>
      <c r="G134" s="224">
        <f>(-SIN('Coords-Trans'!$T$4)*((COS(-banglerad)*K134+SIN(-banglerad)*I134)*1000+'Coords-Trans'!$J$8-'Coords-Trans'!$J$10)+COS('Coords-Trans'!$T$4)*((-SIN(-banglerad)*K134+COS(-banglerad)*I134)*1000+'Coords-Trans'!$K$8-'Coords-Trans'!$K$10))</f>
        <v>1174.1648940930827</v>
      </c>
      <c r="H134" s="292">
        <f t="shared" si="59"/>
        <v>-422.47946124509252</v>
      </c>
      <c r="I134" s="373">
        <f t="shared" si="54"/>
        <v>0.17102762436114743</v>
      </c>
      <c r="J134" s="134">
        <f t="shared" si="55"/>
        <v>-0.4224794612450925</v>
      </c>
      <c r="K134" s="315">
        <f t="shared" si="56"/>
        <v>118.72588029143188</v>
      </c>
      <c r="L134" s="373">
        <f t="shared" si="41"/>
        <v>0.17957413251824561</v>
      </c>
      <c r="M134" s="134">
        <f t="shared" si="42"/>
        <v>-0.4224794612450925</v>
      </c>
      <c r="N134" s="315">
        <f t="shared" si="43"/>
        <v>120.72586203064809</v>
      </c>
      <c r="O134" s="135">
        <v>2</v>
      </c>
      <c r="P134" s="485">
        <f t="shared" si="58"/>
        <v>120.7302168560533</v>
      </c>
      <c r="Q134" s="132" t="s">
        <v>33</v>
      </c>
      <c r="R134" s="136" t="s">
        <v>33</v>
      </c>
      <c r="S134" s="170">
        <f>1000*SQRT((1-(K134-$K$126-$AF$135)^2/$AD$135/$AD$135)*$AE$135*$AE$135)+$AG$135</f>
        <v>112.93446451203384</v>
      </c>
      <c r="T134" s="170">
        <f>1000*SQRT((1-(N134-$K$126-$AF$135)^2/$AD$135/$AD$135)*$AE$135*$AE$135)+$AG$135</f>
        <v>112.04498262127699</v>
      </c>
      <c r="U134" s="170">
        <v>73.89</v>
      </c>
      <c r="V134" s="170">
        <v>73.89</v>
      </c>
      <c r="W134" s="132">
        <v>3</v>
      </c>
      <c r="X134" s="133">
        <v>3</v>
      </c>
      <c r="Y134" s="133">
        <v>2</v>
      </c>
      <c r="Z134" s="136">
        <v>2</v>
      </c>
      <c r="AA134" s="439" t="s">
        <v>31</v>
      </c>
      <c r="AB134" s="136"/>
      <c r="AC134" s="14"/>
      <c r="AD134" s="15"/>
      <c r="AE134" s="15"/>
      <c r="AF134" s="15"/>
      <c r="AG134" s="16"/>
    </row>
    <row r="135" spans="1:33" x14ac:dyDescent="0.2">
      <c r="A135" s="137" t="s">
        <v>43</v>
      </c>
      <c r="B135" s="138" t="s">
        <v>98</v>
      </c>
      <c r="C135" s="138"/>
      <c r="D135" s="374">
        <v>0</v>
      </c>
      <c r="E135" s="139">
        <f t="shared" si="57"/>
        <v>-0.24484016865061223</v>
      </c>
      <c r="F135" s="259">
        <f>(COS('Coords-Trans'!$T$4)*((COS(-banglerad)*K135+SIN(-banglerad)*I135)*1000+'Coords-Trans'!$J$8-'Coords-Trans'!$J$10)+SIN('Coords-Trans'!$T$4)*((-SIN(-banglerad)*K135+COS(-banglerad)*I135)*1000+'Coords-Trans'!$K$8-'Coords-Trans'!$K$10))</f>
        <v>120695.61172789319</v>
      </c>
      <c r="G135" s="225">
        <f>(-SIN('Coords-Trans'!$T$4)*((COS(-banglerad)*K135+SIN(-banglerad)*I135)*1000+'Coords-Trans'!$J$8-'Coords-Trans'!$J$10)+COS('Coords-Trans'!$T$4)*((-SIN(-banglerad)*K135+COS(-banglerad)*I135)*1000+'Coords-Trans'!$K$8-'Coords-Trans'!$K$10))</f>
        <v>1200.1639884686956</v>
      </c>
      <c r="H135" s="293">
        <f t="shared" si="59"/>
        <v>-422.47946124509252</v>
      </c>
      <c r="I135" s="374">
        <f t="shared" si="54"/>
        <v>0.17957413251824561</v>
      </c>
      <c r="J135" s="139">
        <f t="shared" si="55"/>
        <v>-0.4224794612450925</v>
      </c>
      <c r="K135" s="316">
        <f t="shared" si="56"/>
        <v>120.72586203064809</v>
      </c>
      <c r="L135" s="374">
        <f t="shared" si="41"/>
        <v>0.17957840577232417</v>
      </c>
      <c r="M135" s="139">
        <f t="shared" si="42"/>
        <v>-0.4224794612450925</v>
      </c>
      <c r="N135" s="316">
        <f t="shared" si="43"/>
        <v>120.72686202151769</v>
      </c>
      <c r="O135" s="140">
        <v>1E-3</v>
      </c>
      <c r="P135" s="486">
        <f t="shared" si="58"/>
        <v>120.73121685605331</v>
      </c>
      <c r="Q135" s="137"/>
      <c r="R135" s="141"/>
      <c r="S135" s="171"/>
      <c r="T135" s="171"/>
      <c r="U135" s="171"/>
      <c r="V135" s="171"/>
      <c r="W135" s="137"/>
      <c r="X135" s="138"/>
      <c r="Y135" s="138"/>
      <c r="Z135" s="141"/>
      <c r="AA135" s="440"/>
      <c r="AB135" s="141"/>
      <c r="AC135" s="14" t="s">
        <v>39</v>
      </c>
      <c r="AD135" s="15">
        <v>48.58</v>
      </c>
      <c r="AE135" s="15">
        <v>0.1145</v>
      </c>
      <c r="AF135" s="15">
        <v>0</v>
      </c>
      <c r="AG135" s="16">
        <v>0</v>
      </c>
    </row>
    <row r="136" spans="1:33" ht="16" thickBot="1" x14ac:dyDescent="0.25">
      <c r="A136" s="142">
        <v>7</v>
      </c>
      <c r="B136" s="143" t="s">
        <v>98</v>
      </c>
      <c r="C136" s="143" t="s">
        <v>234</v>
      </c>
      <c r="D136" s="375">
        <v>0</v>
      </c>
      <c r="E136" s="144">
        <f t="shared" si="57"/>
        <v>-0.24484016865061223</v>
      </c>
      <c r="F136" s="260">
        <f>(COS('Coords-Trans'!$T$4)*((COS(-banglerad)*K136+SIN(-banglerad)*I136)*1000+'Coords-Trans'!$J$8-'Coords-Trans'!$J$10)+SIN('Coords-Trans'!$T$4)*((-SIN(-banglerad)*K136+COS(-banglerad)*I136)*1000+'Coords-Trans'!$K$8-'Coords-Trans'!$K$10))</f>
        <v>120696.61164339549</v>
      </c>
      <c r="G136" s="226">
        <f>(-SIN('Coords-Trans'!$T$4)*((COS(-banglerad)*K136+SIN(-banglerad)*I136)*1000+'Coords-Trans'!$J$8-'Coords-Trans'!$J$10)+COS('Coords-Trans'!$T$4)*((-SIN(-banglerad)*K136+COS(-banglerad)*I136)*1000+'Coords-Trans'!$K$8-'Coords-Trans'!$K$10))</f>
        <v>1200.1769880159045</v>
      </c>
      <c r="H136" s="294">
        <f t="shared" si="59"/>
        <v>-422.47946124509252</v>
      </c>
      <c r="I136" s="375">
        <f t="shared" si="54"/>
        <v>0.17957840577232417</v>
      </c>
      <c r="J136" s="144">
        <f t="shared" si="55"/>
        <v>-0.4224794612450925</v>
      </c>
      <c r="K136" s="317">
        <f t="shared" si="56"/>
        <v>120.72686202151769</v>
      </c>
      <c r="L136" s="375">
        <f t="shared" si="41"/>
        <v>0.18812491392942235</v>
      </c>
      <c r="M136" s="144">
        <f t="shared" si="42"/>
        <v>-0.4224794612450925</v>
      </c>
      <c r="N136" s="317">
        <f t="shared" si="43"/>
        <v>122.7268437607339</v>
      </c>
      <c r="O136" s="145">
        <v>2</v>
      </c>
      <c r="P136" s="487">
        <f t="shared" si="58"/>
        <v>122.73121685605331</v>
      </c>
      <c r="Q136" s="142" t="s">
        <v>33</v>
      </c>
      <c r="R136" s="146" t="s">
        <v>33</v>
      </c>
      <c r="S136" s="172">
        <f>1000*SQRT((1-(K136-$K$126-$AF$135)^2/$AD$135/$AD$135)*$AE$135*$AE$135)+$AG$135</f>
        <v>112.04448651037647</v>
      </c>
      <c r="T136" s="172">
        <f>1000*SQRT((1-(N136-$K$126-$AF$135)^2/$AD$135/$AD$135)*$AE$135*$AE$135)+$AG$135</f>
        <v>110.94768671805033</v>
      </c>
      <c r="U136" s="172">
        <v>73.89</v>
      </c>
      <c r="V136" s="172">
        <v>73.89</v>
      </c>
      <c r="W136" s="142">
        <v>3</v>
      </c>
      <c r="X136" s="143">
        <v>3</v>
      </c>
      <c r="Y136" s="143">
        <v>2</v>
      </c>
      <c r="Z136" s="146">
        <v>2</v>
      </c>
      <c r="AA136" s="441" t="s">
        <v>31</v>
      </c>
      <c r="AB136" s="146"/>
      <c r="AC136" s="14"/>
      <c r="AD136" s="15"/>
      <c r="AE136" s="15"/>
      <c r="AF136" s="15"/>
      <c r="AG136" s="16"/>
    </row>
    <row r="137" spans="1:33" ht="16" thickBot="1" x14ac:dyDescent="0.25">
      <c r="A137" s="20" t="s">
        <v>43</v>
      </c>
      <c r="B137" s="20"/>
      <c r="C137" s="20"/>
      <c r="D137" s="374">
        <v>0</v>
      </c>
      <c r="E137" s="36">
        <f t="shared" si="57"/>
        <v>-0.24484016865061223</v>
      </c>
      <c r="F137" s="259">
        <f>(COS('Coords-Trans'!$T$4)*((COS(-banglerad)*K137+SIN(-banglerad)*I137)*1000+'Coords-Trans'!$J$8-'Coords-Trans'!$J$10)+SIN('Coords-Trans'!$T$4)*((-SIN(-banglerad)*K137+COS(-banglerad)*I137)*1000+'Coords-Trans'!$K$8-'Coords-Trans'!$K$10))</f>
        <v>122696.44264802855</v>
      </c>
      <c r="G137" s="227">
        <f>(-SIN('Coords-Trans'!$T$4)*((COS(-banglerad)*K137+SIN(-banglerad)*I137)*1000+'Coords-Trans'!$J$8-'Coords-Trans'!$J$10)+COS('Coords-Trans'!$T$4)*((-SIN(-banglerad)*K137+COS(-banglerad)*I137)*1000+'Coords-Trans'!$K$8-'Coords-Trans'!$K$10))</f>
        <v>1226.1760823915247</v>
      </c>
      <c r="H137" s="293">
        <f t="shared" si="59"/>
        <v>-422.47946124509252</v>
      </c>
      <c r="I137" s="374">
        <f t="shared" si="54"/>
        <v>0.18812491392942235</v>
      </c>
      <c r="J137" s="36">
        <f t="shared" si="55"/>
        <v>-0.4224794612450925</v>
      </c>
      <c r="K137" s="316">
        <f t="shared" si="56"/>
        <v>122.7268437607339</v>
      </c>
      <c r="L137" s="374">
        <f t="shared" si="41"/>
        <v>0.18813346043757945</v>
      </c>
      <c r="M137" s="36">
        <f t="shared" si="42"/>
        <v>-0.4224794612450925</v>
      </c>
      <c r="N137" s="316">
        <f t="shared" si="43"/>
        <v>122.72884374247312</v>
      </c>
      <c r="O137" s="140">
        <v>2E-3</v>
      </c>
      <c r="P137" s="486">
        <f t="shared" si="58"/>
        <v>122.7332168560533</v>
      </c>
      <c r="Q137" s="137"/>
      <c r="R137" s="141"/>
      <c r="S137" s="173"/>
      <c r="T137" s="173"/>
      <c r="U137" s="173"/>
      <c r="V137" s="173"/>
      <c r="W137" s="137"/>
      <c r="X137" s="138"/>
      <c r="Y137" s="138"/>
      <c r="Z137" s="141"/>
      <c r="AA137" s="440"/>
      <c r="AB137" s="20"/>
      <c r="AC137" s="14" t="s">
        <v>46</v>
      </c>
      <c r="AD137" s="15">
        <v>44.9</v>
      </c>
      <c r="AE137" s="15">
        <v>7.3889999999999997E-2</v>
      </c>
      <c r="AF137" s="15">
        <v>0</v>
      </c>
      <c r="AG137" s="16">
        <v>0</v>
      </c>
    </row>
    <row r="138" spans="1:33" x14ac:dyDescent="0.2">
      <c r="A138" s="132">
        <v>7</v>
      </c>
      <c r="B138" s="133" t="s">
        <v>99</v>
      </c>
      <c r="C138" s="133" t="s">
        <v>235</v>
      </c>
      <c r="D138" s="373">
        <v>0</v>
      </c>
      <c r="E138" s="134">
        <f t="shared" si="57"/>
        <v>-0.24484016865061223</v>
      </c>
      <c r="F138" s="258">
        <f>(COS('Coords-Trans'!$T$4)*((COS(-banglerad)*K138+SIN(-banglerad)*I138)*1000+'Coords-Trans'!$J$8-'Coords-Trans'!$J$10)+SIN('Coords-Trans'!$T$4)*((-SIN(-banglerad)*K138+COS(-banglerad)*I138)*1000+'Coords-Trans'!$K$8-'Coords-Trans'!$K$10))</f>
        <v>122698.44247903317</v>
      </c>
      <c r="G138" s="224">
        <f>(-SIN('Coords-Trans'!$T$4)*((COS(-banglerad)*K138+SIN(-banglerad)*I138)*1000+'Coords-Trans'!$J$8-'Coords-Trans'!$J$10)+COS('Coords-Trans'!$T$4)*((-SIN(-banglerad)*K138+COS(-banglerad)*I138)*1000+'Coords-Trans'!$K$8-'Coords-Trans'!$K$10))</f>
        <v>1226.2020814858988</v>
      </c>
      <c r="H138" s="292">
        <f t="shared" si="59"/>
        <v>-422.47946124509252</v>
      </c>
      <c r="I138" s="373">
        <f t="shared" si="54"/>
        <v>0.18813346043757945</v>
      </c>
      <c r="J138" s="134">
        <f t="shared" si="55"/>
        <v>-0.4224794612450925</v>
      </c>
      <c r="K138" s="315">
        <f t="shared" si="56"/>
        <v>122.72884374247312</v>
      </c>
      <c r="L138" s="373">
        <f t="shared" si="41"/>
        <v>0.19667996859467762</v>
      </c>
      <c r="M138" s="134">
        <f t="shared" si="42"/>
        <v>-0.4224794612450925</v>
      </c>
      <c r="N138" s="315">
        <f t="shared" si="43"/>
        <v>124.72882548168933</v>
      </c>
      <c r="O138" s="135">
        <v>2</v>
      </c>
      <c r="P138" s="485">
        <f t="shared" si="58"/>
        <v>124.7332168560533</v>
      </c>
      <c r="Q138" s="132" t="s">
        <v>33</v>
      </c>
      <c r="R138" s="136" t="s">
        <v>33</v>
      </c>
      <c r="S138" s="170">
        <f>1000*SQRT((1-(K138-$K$126-$AF$135)^2/$AD$135/$AD$135)*$AE$135*$AE$135)+$AG$135</f>
        <v>110.9464842520691</v>
      </c>
      <c r="T138" s="170">
        <f>1000*SQRT((1-(N138-$K$126-$AF$135)^2/$AD$135/$AD$135)*$AE$135*$AE$135)+$AG$135</f>
        <v>109.63603309649187</v>
      </c>
      <c r="U138" s="170">
        <v>73.89</v>
      </c>
      <c r="V138" s="170">
        <v>73.89</v>
      </c>
      <c r="W138" s="132">
        <v>3</v>
      </c>
      <c r="X138" s="133">
        <v>3</v>
      </c>
      <c r="Y138" s="133">
        <v>2</v>
      </c>
      <c r="Z138" s="136">
        <v>2</v>
      </c>
      <c r="AA138" s="439" t="s">
        <v>31</v>
      </c>
      <c r="AB138" s="136"/>
      <c r="AC138" s="15"/>
      <c r="AD138" s="15"/>
      <c r="AE138" s="15"/>
      <c r="AF138" s="15"/>
      <c r="AG138" s="16"/>
    </row>
    <row r="139" spans="1:33" ht="16" thickBot="1" x14ac:dyDescent="0.25">
      <c r="A139" s="137" t="s">
        <v>43</v>
      </c>
      <c r="B139" s="138" t="s">
        <v>99</v>
      </c>
      <c r="C139" s="138"/>
      <c r="D139" s="374">
        <v>0</v>
      </c>
      <c r="E139" s="139">
        <f t="shared" si="57"/>
        <v>-0.24484016865061223</v>
      </c>
      <c r="F139" s="259">
        <f>(COS('Coords-Trans'!$T$4)*((COS(-banglerad)*K139+SIN(-banglerad)*I139)*1000+'Coords-Trans'!$J$8-'Coords-Trans'!$J$10)+SIN('Coords-Trans'!$T$4)*((-SIN(-banglerad)*K139+COS(-banglerad)*I139)*1000+'Coords-Trans'!$K$8-'Coords-Trans'!$K$10))</f>
        <v>124698.27348366621</v>
      </c>
      <c r="G139" s="225">
        <f>(-SIN('Coords-Trans'!$T$4)*((COS(-banglerad)*K139+SIN(-banglerad)*I139)*1000+'Coords-Trans'!$J$8-'Coords-Trans'!$J$10)+COS('Coords-Trans'!$T$4)*((-SIN(-banglerad)*K139+COS(-banglerad)*I139)*1000+'Coords-Trans'!$K$8-'Coords-Trans'!$K$10))</f>
        <v>1252.201175861519</v>
      </c>
      <c r="H139" s="293">
        <f t="shared" si="59"/>
        <v>-422.47946124509252</v>
      </c>
      <c r="I139" s="374">
        <f t="shared" si="54"/>
        <v>0.19667996859467762</v>
      </c>
      <c r="J139" s="139">
        <f t="shared" si="55"/>
        <v>-0.4224794612450925</v>
      </c>
      <c r="K139" s="316">
        <f t="shared" si="56"/>
        <v>124.72882548168933</v>
      </c>
      <c r="L139" s="374">
        <f t="shared" si="41"/>
        <v>0.19668424184875619</v>
      </c>
      <c r="M139" s="139">
        <f t="shared" si="42"/>
        <v>-0.4224794612450925</v>
      </c>
      <c r="N139" s="316">
        <f t="shared" si="43"/>
        <v>124.72982547255893</v>
      </c>
      <c r="O139" s="140">
        <v>1E-3</v>
      </c>
      <c r="P139" s="486">
        <f t="shared" si="58"/>
        <v>124.73421685605331</v>
      </c>
      <c r="Q139" s="137"/>
      <c r="R139" s="141"/>
      <c r="S139" s="171"/>
      <c r="T139" s="171"/>
      <c r="U139" s="171"/>
      <c r="V139" s="171"/>
      <c r="W139" s="137"/>
      <c r="X139" s="138"/>
      <c r="Y139" s="138"/>
      <c r="Z139" s="141"/>
      <c r="AA139" s="440"/>
      <c r="AB139" s="141"/>
      <c r="AC139" s="17"/>
      <c r="AD139" s="17"/>
      <c r="AE139" s="17"/>
      <c r="AF139" s="17"/>
      <c r="AG139" s="18"/>
    </row>
    <row r="140" spans="1:33" ht="16" thickBot="1" x14ac:dyDescent="0.25">
      <c r="A140" s="142">
        <v>7</v>
      </c>
      <c r="B140" s="143" t="s">
        <v>99</v>
      </c>
      <c r="C140" s="143" t="s">
        <v>236</v>
      </c>
      <c r="D140" s="375">
        <v>0</v>
      </c>
      <c r="E140" s="144">
        <f t="shared" si="57"/>
        <v>-0.24484016865061223</v>
      </c>
      <c r="F140" s="260">
        <f>(COS('Coords-Trans'!$T$4)*((COS(-banglerad)*K140+SIN(-banglerad)*I140)*1000+'Coords-Trans'!$J$8-'Coords-Trans'!$J$10)+SIN('Coords-Trans'!$T$4)*((-SIN(-banglerad)*K140+COS(-banglerad)*I140)*1000+'Coords-Trans'!$K$8-'Coords-Trans'!$K$10))</f>
        <v>124699.27339916854</v>
      </c>
      <c r="G140" s="226">
        <f>(-SIN('Coords-Trans'!$T$4)*((COS(-banglerad)*K140+SIN(-banglerad)*I140)*1000+'Coords-Trans'!$J$8-'Coords-Trans'!$J$10)+COS('Coords-Trans'!$T$4)*((-SIN(-banglerad)*K140+COS(-banglerad)*I140)*1000+'Coords-Trans'!$K$8-'Coords-Trans'!$K$10))</f>
        <v>1252.2141754086915</v>
      </c>
      <c r="H140" s="294">
        <f t="shared" si="59"/>
        <v>-422.47946124509252</v>
      </c>
      <c r="I140" s="375">
        <f t="shared" si="54"/>
        <v>0.19668424184875619</v>
      </c>
      <c r="J140" s="144">
        <f t="shared" si="55"/>
        <v>-0.4224794612450925</v>
      </c>
      <c r="K140" s="317">
        <f t="shared" si="56"/>
        <v>124.72982547255893</v>
      </c>
      <c r="L140" s="375">
        <f t="shared" si="41"/>
        <v>0.20523075000585436</v>
      </c>
      <c r="M140" s="144">
        <f t="shared" si="42"/>
        <v>-0.4224794612450925</v>
      </c>
      <c r="N140" s="317">
        <f t="shared" si="43"/>
        <v>126.72980721177514</v>
      </c>
      <c r="O140" s="145">
        <v>2</v>
      </c>
      <c r="P140" s="487">
        <f t="shared" si="58"/>
        <v>126.73421685605331</v>
      </c>
      <c r="Q140" s="142" t="s">
        <v>33</v>
      </c>
      <c r="R140" s="146" t="s">
        <v>33</v>
      </c>
      <c r="S140" s="172">
        <f>1000*SQRT((1-(K140-$K$126-$AF$135)^2/$AD$135/$AD$135)*$AE$135*$AE$135)+$AG$135</f>
        <v>109.63532325930073</v>
      </c>
      <c r="T140" s="172">
        <f>1000*SQRT((1-(N140-$K$126-$AF$135)^2/$AD$135/$AD$135)*$AE$135*$AE$135)+$AG$135</f>
        <v>108.10355621413241</v>
      </c>
      <c r="U140" s="172">
        <f>1000*SQRT((1-(K140-$K$140-$AF$137)^2/$AD$137/$AD$137)*$AE$137*$AE$137)+$AG$137</f>
        <v>73.89</v>
      </c>
      <c r="V140" s="172">
        <f>1000*SQRT((1-(N140-$K$140-$AF$137)^2/$AD$137/$AD$137)*$AE$137*$AE$137)+$AG$137</f>
        <v>73.816661735422045</v>
      </c>
      <c r="W140" s="142">
        <v>3</v>
      </c>
      <c r="X140" s="143">
        <v>3</v>
      </c>
      <c r="Y140" s="143">
        <v>2</v>
      </c>
      <c r="Z140" s="146">
        <v>2</v>
      </c>
      <c r="AA140" s="441" t="s">
        <v>31</v>
      </c>
      <c r="AB140" s="146"/>
      <c r="AD140" s="10" t="s">
        <v>272</v>
      </c>
    </row>
    <row r="141" spans="1:33" ht="16" thickBot="1" x14ac:dyDescent="0.25">
      <c r="A141" s="20" t="s">
        <v>43</v>
      </c>
      <c r="B141" s="20"/>
      <c r="C141" s="20"/>
      <c r="D141" s="374">
        <v>0</v>
      </c>
      <c r="E141" s="36">
        <f t="shared" si="57"/>
        <v>-0.24484016865061223</v>
      </c>
      <c r="F141" s="259">
        <f>(COS('Coords-Trans'!$T$4)*((COS(-banglerad)*K141+SIN(-banglerad)*I141)*1000+'Coords-Trans'!$J$8-'Coords-Trans'!$J$10)+SIN('Coords-Trans'!$T$4)*((-SIN(-banglerad)*K141+COS(-banglerad)*I141)*1000+'Coords-Trans'!$K$8-'Coords-Trans'!$K$10))</f>
        <v>126699.10440380158</v>
      </c>
      <c r="G141" s="227">
        <f>(-SIN('Coords-Trans'!$T$4)*((COS(-banglerad)*K141+SIN(-banglerad)*I141)*1000+'Coords-Trans'!$J$8-'Coords-Trans'!$J$10)+COS('Coords-Trans'!$T$4)*((-SIN(-banglerad)*K141+COS(-banglerad)*I141)*1000+'Coords-Trans'!$K$8-'Coords-Trans'!$K$10))</f>
        <v>1278.2132697843408</v>
      </c>
      <c r="H141" s="293">
        <f t="shared" si="59"/>
        <v>-422.47946124509252</v>
      </c>
      <c r="I141" s="374">
        <f t="shared" si="54"/>
        <v>0.20523075000585436</v>
      </c>
      <c r="J141" s="36">
        <f t="shared" si="55"/>
        <v>-0.4224794612450925</v>
      </c>
      <c r="K141" s="316">
        <f t="shared" si="56"/>
        <v>126.72980721177514</v>
      </c>
      <c r="L141" s="374">
        <f t="shared" si="41"/>
        <v>0.20523929651401146</v>
      </c>
      <c r="M141" s="36">
        <f t="shared" si="42"/>
        <v>-0.4224794612450925</v>
      </c>
      <c r="N141" s="316">
        <f t="shared" si="43"/>
        <v>126.73180719351436</v>
      </c>
      <c r="O141" s="140">
        <v>2E-3</v>
      </c>
      <c r="P141" s="486">
        <f t="shared" si="58"/>
        <v>126.7362168560533</v>
      </c>
      <c r="Q141" s="137"/>
      <c r="R141" s="141"/>
      <c r="S141" s="173"/>
      <c r="T141" s="173"/>
      <c r="U141" s="173"/>
      <c r="V141" s="173"/>
      <c r="W141" s="137"/>
      <c r="X141" s="138"/>
      <c r="Y141" s="138"/>
      <c r="Z141" s="141"/>
      <c r="AA141" s="440"/>
      <c r="AB141" s="20"/>
      <c r="AC141" s="10" t="s">
        <v>273</v>
      </c>
      <c r="AD141" s="10" t="s">
        <v>274</v>
      </c>
      <c r="AE141" s="10" t="s">
        <v>275</v>
      </c>
      <c r="AF141" s="10" t="s">
        <v>276</v>
      </c>
    </row>
    <row r="142" spans="1:33" x14ac:dyDescent="0.2">
      <c r="A142" s="132">
        <v>7</v>
      </c>
      <c r="B142" s="133" t="s">
        <v>100</v>
      </c>
      <c r="C142" s="133" t="s">
        <v>237</v>
      </c>
      <c r="D142" s="373">
        <v>0</v>
      </c>
      <c r="E142" s="134">
        <f t="shared" si="57"/>
        <v>-0.24484016865061223</v>
      </c>
      <c r="F142" s="258">
        <f>(COS('Coords-Trans'!$T$4)*((COS(-banglerad)*K142+SIN(-banglerad)*I142)*1000+'Coords-Trans'!$J$8-'Coords-Trans'!$J$10)+SIN('Coords-Trans'!$T$4)*((-SIN(-banglerad)*K142+COS(-banglerad)*I142)*1000+'Coords-Trans'!$K$8-'Coords-Trans'!$K$10))</f>
        <v>126701.1042348062</v>
      </c>
      <c r="G142" s="224">
        <f>(-SIN('Coords-Trans'!$T$4)*((COS(-banglerad)*K142+SIN(-banglerad)*I142)*1000+'Coords-Trans'!$J$8-'Coords-Trans'!$J$10)+COS('Coords-Trans'!$T$4)*((-SIN(-banglerad)*K142+COS(-banglerad)*I142)*1000+'Coords-Trans'!$K$8-'Coords-Trans'!$K$10))</f>
        <v>1278.2392688787149</v>
      </c>
      <c r="H142" s="292">
        <f t="shared" si="59"/>
        <v>-422.47946124509252</v>
      </c>
      <c r="I142" s="373">
        <f t="shared" si="54"/>
        <v>0.20523929651401146</v>
      </c>
      <c r="J142" s="134">
        <f t="shared" si="55"/>
        <v>-0.4224794612450925</v>
      </c>
      <c r="K142" s="315">
        <f t="shared" si="56"/>
        <v>126.73180719351436</v>
      </c>
      <c r="L142" s="373">
        <f t="shared" si="41"/>
        <v>0.21378580467110964</v>
      </c>
      <c r="M142" s="134">
        <f t="shared" si="42"/>
        <v>-0.4224794612450925</v>
      </c>
      <c r="N142" s="315">
        <f t="shared" si="43"/>
        <v>128.73178893273058</v>
      </c>
      <c r="O142" s="135">
        <v>2</v>
      </c>
      <c r="P142" s="485">
        <f t="shared" si="58"/>
        <v>128.73621685605332</v>
      </c>
      <c r="Q142" s="132" t="s">
        <v>33</v>
      </c>
      <c r="R142" s="136" t="s">
        <v>33</v>
      </c>
      <c r="S142" s="170">
        <f>1000*SQRT((1-(K142-$K$126-$AF$135)^2/$AD$135/$AD$135)*$AE$135*$AE$135)+$AG$135</f>
        <v>108.10191070688492</v>
      </c>
      <c r="T142" s="170">
        <f>1000*SQRT((1-(N142-$K$126-$AF$135)^2/$AD$135/$AD$135)*$AE$135*$AE$135)+$AG$135</f>
        <v>106.33914149069372</v>
      </c>
      <c r="U142" s="170">
        <f>1000*SQRT((1-(K142-$K$140-$AF$137)^2/$AD$137/$AD$137)*$AE$137*$AE$137)+$AG$137</f>
        <v>73.816514912509206</v>
      </c>
      <c r="V142" s="170">
        <f>1000*SQRT((1-(N142-$K$140-$AF$137)^2/$AD$137/$AD$137)*$AE$137*$AE$137)+$AG$137</f>
        <v>73.595914003519141</v>
      </c>
      <c r="W142" s="132">
        <v>3</v>
      </c>
      <c r="X142" s="133">
        <v>3</v>
      </c>
      <c r="Y142" s="133">
        <v>2</v>
      </c>
      <c r="Z142" s="136">
        <v>2</v>
      </c>
      <c r="AA142" s="439" t="s">
        <v>31</v>
      </c>
      <c r="AB142" s="136"/>
    </row>
    <row r="143" spans="1:33" x14ac:dyDescent="0.2">
      <c r="A143" s="137" t="s">
        <v>43</v>
      </c>
      <c r="B143" s="138" t="s">
        <v>100</v>
      </c>
      <c r="C143" s="138"/>
      <c r="D143" s="374">
        <v>0</v>
      </c>
      <c r="E143" s="139">
        <f t="shared" si="57"/>
        <v>-0.24484016865061223</v>
      </c>
      <c r="F143" s="259">
        <f>(COS('Coords-Trans'!$T$4)*((COS(-banglerad)*K143+SIN(-banglerad)*I143)*1000+'Coords-Trans'!$J$8-'Coords-Trans'!$J$10)+SIN('Coords-Trans'!$T$4)*((-SIN(-banglerad)*K143+COS(-banglerad)*I143)*1000+'Coords-Trans'!$K$8-'Coords-Trans'!$K$10))</f>
        <v>128700.93523943928</v>
      </c>
      <c r="G143" s="225">
        <f>(-SIN('Coords-Trans'!$T$4)*((COS(-banglerad)*K143+SIN(-banglerad)*I143)*1000+'Coords-Trans'!$J$8-'Coords-Trans'!$J$10)+COS('Coords-Trans'!$T$4)*((-SIN(-banglerad)*K143+COS(-banglerad)*I143)*1000+'Coords-Trans'!$K$8-'Coords-Trans'!$K$10))</f>
        <v>1304.2383632543424</v>
      </c>
      <c r="H143" s="293">
        <f t="shared" si="59"/>
        <v>-422.47946124509252</v>
      </c>
      <c r="I143" s="374">
        <f t="shared" si="54"/>
        <v>0.21378580467110964</v>
      </c>
      <c r="J143" s="139">
        <f t="shared" si="55"/>
        <v>-0.4224794612450925</v>
      </c>
      <c r="K143" s="316">
        <f t="shared" si="56"/>
        <v>128.73178893273058</v>
      </c>
      <c r="L143" s="374">
        <f t="shared" si="41"/>
        <v>0.2137900779251882</v>
      </c>
      <c r="M143" s="139">
        <f t="shared" si="42"/>
        <v>-0.4224794612450925</v>
      </c>
      <c r="N143" s="316">
        <f t="shared" si="43"/>
        <v>128.7327889236002</v>
      </c>
      <c r="O143" s="140">
        <v>1E-3</v>
      </c>
      <c r="P143" s="486">
        <f t="shared" si="58"/>
        <v>128.73721685605332</v>
      </c>
      <c r="Q143" s="137"/>
      <c r="R143" s="141"/>
      <c r="S143" s="171"/>
      <c r="T143" s="171"/>
      <c r="U143" s="171"/>
      <c r="V143" s="171"/>
      <c r="W143" s="137"/>
      <c r="X143" s="138"/>
      <c r="Y143" s="138"/>
      <c r="Z143" s="141"/>
      <c r="AA143" s="440"/>
      <c r="AB143" s="141"/>
    </row>
    <row r="144" spans="1:33" ht="16" thickBot="1" x14ac:dyDescent="0.25">
      <c r="A144" s="142">
        <v>7</v>
      </c>
      <c r="B144" s="143" t="s">
        <v>100</v>
      </c>
      <c r="C144" s="143" t="s">
        <v>238</v>
      </c>
      <c r="D144" s="375">
        <v>0</v>
      </c>
      <c r="E144" s="144">
        <f>$E$65</f>
        <v>-0.24484016865061223</v>
      </c>
      <c r="F144" s="260">
        <f>(COS('Coords-Trans'!$T$4)*((COS(-banglerad)*K144+SIN(-banglerad)*I144)*1000+'Coords-Trans'!$J$8-'Coords-Trans'!$J$10)+SIN('Coords-Trans'!$T$4)*((-SIN(-banglerad)*K144+COS(-banglerad)*I144)*1000+'Coords-Trans'!$K$8-'Coords-Trans'!$K$10))</f>
        <v>128701.9351549416</v>
      </c>
      <c r="G144" s="226">
        <f>(-SIN('Coords-Trans'!$T$4)*((COS(-banglerad)*K144+SIN(-banglerad)*I144)*1000+'Coords-Trans'!$J$8-'Coords-Trans'!$J$10)+COS('Coords-Trans'!$T$4)*((-SIN(-banglerad)*K144+COS(-banglerad)*I144)*1000+'Coords-Trans'!$K$8-'Coords-Trans'!$K$10))</f>
        <v>1304.2513628015295</v>
      </c>
      <c r="H144" s="294">
        <f t="shared" si="59"/>
        <v>-422.47946124509252</v>
      </c>
      <c r="I144" s="375">
        <f t="shared" si="54"/>
        <v>0.2137900779251882</v>
      </c>
      <c r="J144" s="144">
        <f t="shared" si="55"/>
        <v>-0.4224794612450925</v>
      </c>
      <c r="K144" s="317">
        <f t="shared" si="56"/>
        <v>128.7327889236002</v>
      </c>
      <c r="L144" s="375">
        <f t="shared" si="41"/>
        <v>0.22233658608228637</v>
      </c>
      <c r="M144" s="144">
        <f t="shared" si="42"/>
        <v>-0.4224794612450925</v>
      </c>
      <c r="N144" s="317">
        <f t="shared" si="43"/>
        <v>130.73277066281642</v>
      </c>
      <c r="O144" s="145">
        <v>2</v>
      </c>
      <c r="P144" s="487">
        <f t="shared" si="58"/>
        <v>130.73721685605332</v>
      </c>
      <c r="Q144" s="142" t="s">
        <v>33</v>
      </c>
      <c r="R144" s="146" t="s">
        <v>33</v>
      </c>
      <c r="S144" s="172">
        <f>1000*SQRT((1-(K144-$K$126-$AF$135)^2/$AD$135/$AD$135)*$AE$135*$AE$135)+$AG$135</f>
        <v>106.33820053150563</v>
      </c>
      <c r="T144" s="172">
        <f>1000*SQRT((1-(N144-$K$126-$AF$135)^2/$AD$135/$AD$135)*$AE$135*$AE$135)+$AG$135</f>
        <v>104.33283366949944</v>
      </c>
      <c r="U144" s="172">
        <f>1000*SQRT((1-(K144-$K$140-$AF$137)^2/$AD$137/$AD$137)*$AE$137*$AE$137)+$AG$137</f>
        <v>73.595766721817768</v>
      </c>
      <c r="V144" s="172">
        <f>1000*SQRT((1-(N144-$K$140-$AF$137)^2/$AD$137/$AD$137)*$AE$137*$AE$137)+$AG$137</f>
        <v>73.226645632106582</v>
      </c>
      <c r="W144" s="142">
        <v>3.5</v>
      </c>
      <c r="X144" s="143">
        <v>3.5</v>
      </c>
      <c r="Y144" s="143">
        <v>2</v>
      </c>
      <c r="Z144" s="146">
        <v>2</v>
      </c>
      <c r="AA144" s="441" t="s">
        <v>31</v>
      </c>
      <c r="AB144" s="146"/>
    </row>
    <row r="145" spans="1:28" ht="16" thickBot="1" x14ac:dyDescent="0.25">
      <c r="A145" s="20" t="s">
        <v>43</v>
      </c>
      <c r="B145" s="20"/>
      <c r="C145" s="20"/>
      <c r="D145" s="374">
        <v>0</v>
      </c>
      <c r="E145" s="36">
        <f t="shared" ref="E145:E161" si="60">$E$65</f>
        <v>-0.24484016865061223</v>
      </c>
      <c r="F145" s="259">
        <f>(COS('Coords-Trans'!$T$4)*((COS(-banglerad)*K145+SIN(-banglerad)*I145)*1000+'Coords-Trans'!$J$8-'Coords-Trans'!$J$10)+SIN('Coords-Trans'!$T$4)*((-SIN(-banglerad)*K145+COS(-banglerad)*I145)*1000+'Coords-Trans'!$K$8-'Coords-Trans'!$K$10))</f>
        <v>130701.76615957468</v>
      </c>
      <c r="G145" s="227">
        <f>(-SIN('Coords-Trans'!$T$4)*((COS(-banglerad)*K145+SIN(-banglerad)*I145)*1000+'Coords-Trans'!$J$8-'Coords-Trans'!$J$10)+COS('Coords-Trans'!$T$4)*((-SIN(-banglerad)*K145+COS(-banglerad)*I145)*1000+'Coords-Trans'!$K$8-'Coords-Trans'!$K$10))</f>
        <v>1330.2504571771424</v>
      </c>
      <c r="H145" s="293">
        <f t="shared" si="59"/>
        <v>-422.47946124509252</v>
      </c>
      <c r="I145" s="374">
        <f t="shared" si="54"/>
        <v>0.22233658608228637</v>
      </c>
      <c r="J145" s="36">
        <f t="shared" si="55"/>
        <v>-0.4224794612450925</v>
      </c>
      <c r="K145" s="316">
        <f t="shared" si="56"/>
        <v>130.73277066281642</v>
      </c>
      <c r="L145" s="374">
        <f t="shared" si="41"/>
        <v>0.22234513259044347</v>
      </c>
      <c r="M145" s="36">
        <f t="shared" si="42"/>
        <v>-0.4224794612450925</v>
      </c>
      <c r="N145" s="316">
        <f t="shared" si="43"/>
        <v>130.73477064455562</v>
      </c>
      <c r="O145" s="140">
        <v>2E-3</v>
      </c>
      <c r="P145" s="486">
        <f t="shared" si="58"/>
        <v>130.73921685605333</v>
      </c>
      <c r="Q145" s="137"/>
      <c r="R145" s="141"/>
      <c r="S145" s="173"/>
      <c r="T145" s="173"/>
      <c r="U145" s="173"/>
      <c r="V145" s="173"/>
      <c r="W145" s="137"/>
      <c r="X145" s="138"/>
      <c r="Y145" s="138"/>
      <c r="Z145" s="141"/>
      <c r="AA145" s="440"/>
      <c r="AB145" s="20"/>
    </row>
    <row r="146" spans="1:28" x14ac:dyDescent="0.2">
      <c r="A146" s="132">
        <v>7</v>
      </c>
      <c r="B146" s="133" t="s">
        <v>101</v>
      </c>
      <c r="C146" s="133" t="s">
        <v>239</v>
      </c>
      <c r="D146" s="373">
        <v>0</v>
      </c>
      <c r="E146" s="134">
        <f t="shared" si="60"/>
        <v>-0.24484016865061223</v>
      </c>
      <c r="F146" s="258">
        <f>(COS('Coords-Trans'!$T$4)*((COS(-banglerad)*K146+SIN(-banglerad)*I146)*1000+'Coords-Trans'!$J$8-'Coords-Trans'!$J$10)+SIN('Coords-Trans'!$T$4)*((-SIN(-banglerad)*K146+COS(-banglerad)*I146)*1000+'Coords-Trans'!$K$8-'Coords-Trans'!$K$10))</f>
        <v>130703.7659905793</v>
      </c>
      <c r="G146" s="224">
        <f>(-SIN('Coords-Trans'!$T$4)*((COS(-banglerad)*K146+SIN(-banglerad)*I146)*1000+'Coords-Trans'!$J$8-'Coords-Trans'!$J$10)+COS('Coords-Trans'!$T$4)*((-SIN(-banglerad)*K146+COS(-banglerad)*I146)*1000+'Coords-Trans'!$K$8-'Coords-Trans'!$K$10))</f>
        <v>1330.2764562715092</v>
      </c>
      <c r="H146" s="292">
        <f t="shared" si="59"/>
        <v>-422.47946124509252</v>
      </c>
      <c r="I146" s="373">
        <f t="shared" si="54"/>
        <v>0.22234513259044347</v>
      </c>
      <c r="J146" s="134">
        <f t="shared" si="55"/>
        <v>-0.4224794612450925</v>
      </c>
      <c r="K146" s="315">
        <f t="shared" si="56"/>
        <v>130.73477064455562</v>
      </c>
      <c r="L146" s="373">
        <f t="shared" si="41"/>
        <v>0.23089164074754165</v>
      </c>
      <c r="M146" s="134">
        <f t="shared" si="42"/>
        <v>-0.4224794612450925</v>
      </c>
      <c r="N146" s="315">
        <f t="shared" si="43"/>
        <v>132.73475238377185</v>
      </c>
      <c r="O146" s="135">
        <v>2</v>
      </c>
      <c r="P146" s="485">
        <f t="shared" si="58"/>
        <v>132.73921685605333</v>
      </c>
      <c r="Q146" s="132" t="s">
        <v>33</v>
      </c>
      <c r="R146" s="136" t="s">
        <v>33</v>
      </c>
      <c r="S146" s="170">
        <f>1000*SQRT((1-(K146-$K$126-$AF$135)^2/$AD$135/$AD$135)*$AE$135*$AE$135)+$AG$135</f>
        <v>104.33070241484015</v>
      </c>
      <c r="T146" s="170">
        <f>1000*SQRT((1-(N146-$K$126-$AF$135)^2/$AD$135/$AD$135)*$AE$135*$AE$135)+$AG$135</f>
        <v>102.06830022161827</v>
      </c>
      <c r="U146" s="170">
        <f>1000*SQRT((1-(K146-$K$140-$AF$137)^2/$AD$137/$AD$137)*$AE$137*$AE$137)+$AG$137</f>
        <v>73.226201539465933</v>
      </c>
      <c r="V146" s="170">
        <f>1000*SQRT((1-(N146-$K$140-$AF$137)^2/$AD$137/$AD$137)*$AE$137*$AE$137)+$AG$137</f>
        <v>72.706221036987912</v>
      </c>
      <c r="W146" s="132">
        <v>3.5</v>
      </c>
      <c r="X146" s="133">
        <v>3.5</v>
      </c>
      <c r="Y146" s="133">
        <v>2</v>
      </c>
      <c r="Z146" s="136">
        <v>2</v>
      </c>
      <c r="AA146" s="439" t="s">
        <v>31</v>
      </c>
      <c r="AB146" s="136"/>
    </row>
    <row r="147" spans="1:28" x14ac:dyDescent="0.2">
      <c r="A147" s="137" t="s">
        <v>43</v>
      </c>
      <c r="B147" s="138" t="s">
        <v>101</v>
      </c>
      <c r="C147" s="138"/>
      <c r="D147" s="374">
        <v>0</v>
      </c>
      <c r="E147" s="139">
        <f t="shared" si="60"/>
        <v>-0.24484016865061223</v>
      </c>
      <c r="F147" s="259">
        <f>(COS('Coords-Trans'!$T$4)*((COS(-banglerad)*K147+SIN(-banglerad)*I147)*1000+'Coords-Trans'!$J$8-'Coords-Trans'!$J$10)+SIN('Coords-Trans'!$T$4)*((-SIN(-banglerad)*K147+COS(-banglerad)*I147)*1000+'Coords-Trans'!$K$8-'Coords-Trans'!$K$10))</f>
        <v>132703.59699521234</v>
      </c>
      <c r="G147" s="225">
        <f>(-SIN('Coords-Trans'!$T$4)*((COS(-banglerad)*K147+SIN(-banglerad)*I147)*1000+'Coords-Trans'!$J$8-'Coords-Trans'!$J$10)+COS('Coords-Trans'!$T$4)*((-SIN(-banglerad)*K147+COS(-banglerad)*I147)*1000+'Coords-Trans'!$K$8-'Coords-Trans'!$K$10))</f>
        <v>1356.2755506471585</v>
      </c>
      <c r="H147" s="293">
        <f t="shared" si="59"/>
        <v>-422.47946124509252</v>
      </c>
      <c r="I147" s="374">
        <f t="shared" si="54"/>
        <v>0.23089164074754165</v>
      </c>
      <c r="J147" s="139">
        <f t="shared" si="55"/>
        <v>-0.4224794612450925</v>
      </c>
      <c r="K147" s="316">
        <f t="shared" si="56"/>
        <v>132.73475238377185</v>
      </c>
      <c r="L147" s="374">
        <f t="shared" si="41"/>
        <v>0.23089591400162021</v>
      </c>
      <c r="M147" s="139">
        <f t="shared" si="42"/>
        <v>-0.4224794612450925</v>
      </c>
      <c r="N147" s="316">
        <f t="shared" si="43"/>
        <v>132.73575237464146</v>
      </c>
      <c r="O147" s="140">
        <v>1E-3</v>
      </c>
      <c r="P147" s="486">
        <f t="shared" si="58"/>
        <v>132.74021685605334</v>
      </c>
      <c r="Q147" s="137"/>
      <c r="R147" s="141"/>
      <c r="S147" s="171"/>
      <c r="T147" s="171"/>
      <c r="U147" s="171"/>
      <c r="V147" s="171"/>
      <c r="W147" s="137"/>
      <c r="X147" s="138"/>
      <c r="Y147" s="138"/>
      <c r="Z147" s="141"/>
      <c r="AA147" s="440"/>
      <c r="AB147" s="141"/>
    </row>
    <row r="148" spans="1:28" ht="16" thickBot="1" x14ac:dyDescent="0.25">
      <c r="A148" s="142">
        <v>7</v>
      </c>
      <c r="B148" s="143" t="s">
        <v>101</v>
      </c>
      <c r="C148" s="143" t="s">
        <v>240</v>
      </c>
      <c r="D148" s="375">
        <v>0</v>
      </c>
      <c r="E148" s="144">
        <f t="shared" si="60"/>
        <v>-0.24484016865061223</v>
      </c>
      <c r="F148" s="260">
        <f>(COS('Coords-Trans'!$T$4)*((COS(-banglerad)*K148+SIN(-banglerad)*I148)*1000+'Coords-Trans'!$J$8-'Coords-Trans'!$J$10)+SIN('Coords-Trans'!$T$4)*((-SIN(-banglerad)*K148+COS(-banglerad)*I148)*1000+'Coords-Trans'!$K$8-'Coords-Trans'!$K$10))</f>
        <v>132704.5969107147</v>
      </c>
      <c r="G148" s="226">
        <f>(-SIN('Coords-Trans'!$T$4)*((COS(-banglerad)*K148+SIN(-banglerad)*I148)*1000+'Coords-Trans'!$J$8-'Coords-Trans'!$J$10)+COS('Coords-Trans'!$T$4)*((-SIN(-banglerad)*K148+COS(-banglerad)*I148)*1000+'Coords-Trans'!$K$8-'Coords-Trans'!$K$10))</f>
        <v>1356.2885501943383</v>
      </c>
      <c r="H148" s="294">
        <f t="shared" si="59"/>
        <v>-422.47946124509252</v>
      </c>
      <c r="I148" s="375">
        <f t="shared" si="54"/>
        <v>0.23089591400162021</v>
      </c>
      <c r="J148" s="144">
        <f t="shared" si="55"/>
        <v>-0.4224794612450925</v>
      </c>
      <c r="K148" s="317">
        <f t="shared" si="56"/>
        <v>132.73575237464146</v>
      </c>
      <c r="L148" s="375">
        <f t="shared" si="41"/>
        <v>0.23944242215871839</v>
      </c>
      <c r="M148" s="144">
        <f t="shared" si="42"/>
        <v>-0.4224794612450925</v>
      </c>
      <c r="N148" s="317">
        <f t="shared" si="43"/>
        <v>134.73573411385769</v>
      </c>
      <c r="O148" s="145">
        <v>2</v>
      </c>
      <c r="P148" s="487">
        <f t="shared" si="58"/>
        <v>134.74021685605334</v>
      </c>
      <c r="Q148" s="142" t="s">
        <v>33</v>
      </c>
      <c r="R148" s="146" t="s">
        <v>33</v>
      </c>
      <c r="S148" s="172">
        <f>1000*SQRT((1-(K148-$K$126-$AF$135)^2/$AD$135/$AD$135)*$AE$135*$AE$135)+$AG$135</f>
        <v>102.0671020245797</v>
      </c>
      <c r="T148" s="172">
        <f>1000*SQRT((1-(N148-$K$126-$AF$135)^2/$AD$135/$AD$135)*$AE$135*$AE$135)+$AG$135</f>
        <v>99.530262403867397</v>
      </c>
      <c r="U148" s="172">
        <f>1000*SQRT((1-(K148-$K$140-$AF$137)^2/$AD$137/$AD$137)*$AE$137*$AE$137)+$AG$137</f>
        <v>72.705922850128786</v>
      </c>
      <c r="V148" s="172">
        <f>1000*SQRT((1-(N148-$K$140-$AF$137)^2/$AD$137/$AD$137)*$AE$137*$AE$137)+$AG$137</f>
        <v>72.031890646039173</v>
      </c>
      <c r="W148" s="142">
        <v>3.5</v>
      </c>
      <c r="X148" s="143">
        <v>3.5</v>
      </c>
      <c r="Y148" s="143">
        <v>2</v>
      </c>
      <c r="Z148" s="146">
        <v>2</v>
      </c>
      <c r="AA148" s="441" t="s">
        <v>31</v>
      </c>
      <c r="AB148" s="146"/>
    </row>
    <row r="149" spans="1:28" ht="16" thickBot="1" x14ac:dyDescent="0.25">
      <c r="A149" s="20" t="s">
        <v>43</v>
      </c>
      <c r="B149" s="20"/>
      <c r="C149" s="20"/>
      <c r="D149" s="374">
        <v>0</v>
      </c>
      <c r="E149" s="36">
        <f t="shared" si="60"/>
        <v>-0.24484016865061223</v>
      </c>
      <c r="F149" s="259">
        <f>(COS('Coords-Trans'!$T$4)*((COS(-banglerad)*K149+SIN(-banglerad)*I149)*1000+'Coords-Trans'!$J$8-'Coords-Trans'!$J$10)+SIN('Coords-Trans'!$T$4)*((-SIN(-banglerad)*K149+COS(-banglerad)*I149)*1000+'Coords-Trans'!$K$8-'Coords-Trans'!$K$10))</f>
        <v>134704.42791534774</v>
      </c>
      <c r="G149" s="227">
        <f>(-SIN('Coords-Trans'!$T$4)*((COS(-banglerad)*K149+SIN(-banglerad)*I149)*1000+'Coords-Trans'!$J$8-'Coords-Trans'!$J$10)+COS('Coords-Trans'!$T$4)*((-SIN(-banglerad)*K149+COS(-banglerad)*I149)*1000+'Coords-Trans'!$K$8-'Coords-Trans'!$K$10))</f>
        <v>1382.2876445699658</v>
      </c>
      <c r="H149" s="293">
        <f t="shared" si="59"/>
        <v>-422.47946124509252</v>
      </c>
      <c r="I149" s="374">
        <f t="shared" si="54"/>
        <v>0.23944242215871839</v>
      </c>
      <c r="J149" s="36">
        <f t="shared" si="55"/>
        <v>-0.4224794612450925</v>
      </c>
      <c r="K149" s="316">
        <f t="shared" si="56"/>
        <v>134.73573411385769</v>
      </c>
      <c r="L149" s="374">
        <f t="shared" si="41"/>
        <v>0.23945096866687549</v>
      </c>
      <c r="M149" s="36">
        <f t="shared" si="42"/>
        <v>-0.4224794612450925</v>
      </c>
      <c r="N149" s="316">
        <f t="shared" si="43"/>
        <v>134.73773409559689</v>
      </c>
      <c r="O149" s="140">
        <v>2E-3</v>
      </c>
      <c r="P149" s="486">
        <f t="shared" si="58"/>
        <v>134.74221685605335</v>
      </c>
      <c r="Q149" s="137"/>
      <c r="R149" s="141"/>
      <c r="S149" s="173"/>
      <c r="T149" s="173"/>
      <c r="U149" s="173"/>
      <c r="V149" s="173"/>
      <c r="W149" s="137"/>
      <c r="X149" s="138"/>
      <c r="Y149" s="138"/>
      <c r="Z149" s="141"/>
      <c r="AA149" s="440"/>
      <c r="AB149" s="20"/>
    </row>
    <row r="150" spans="1:28" x14ac:dyDescent="0.2">
      <c r="A150" s="132">
        <v>7</v>
      </c>
      <c r="B150" s="133" t="s">
        <v>102</v>
      </c>
      <c r="C150" s="133" t="s">
        <v>241</v>
      </c>
      <c r="D150" s="373">
        <v>0</v>
      </c>
      <c r="E150" s="134">
        <f t="shared" si="60"/>
        <v>-0.24484016865061223</v>
      </c>
      <c r="F150" s="258">
        <f>(COS('Coords-Trans'!$T$4)*((COS(-banglerad)*K150+SIN(-banglerad)*I150)*1000+'Coords-Trans'!$J$8-'Coords-Trans'!$J$10)+SIN('Coords-Trans'!$T$4)*((-SIN(-banglerad)*K150+COS(-banglerad)*I150)*1000+'Coords-Trans'!$K$8-'Coords-Trans'!$K$10))</f>
        <v>134706.42774635233</v>
      </c>
      <c r="G150" s="224">
        <f>(-SIN('Coords-Trans'!$T$4)*((COS(-banglerad)*K150+SIN(-banglerad)*I150)*1000+'Coords-Trans'!$J$8-'Coords-Trans'!$J$10)+COS('Coords-Trans'!$T$4)*((-SIN(-banglerad)*K150+COS(-banglerad)*I150)*1000+'Coords-Trans'!$K$8-'Coords-Trans'!$K$10))</f>
        <v>1382.3136436643399</v>
      </c>
      <c r="H150" s="292">
        <f t="shared" si="59"/>
        <v>-422.47946124509252</v>
      </c>
      <c r="I150" s="373">
        <f t="shared" si="54"/>
        <v>0.23945096866687549</v>
      </c>
      <c r="J150" s="134">
        <f t="shared" si="55"/>
        <v>-0.4224794612450925</v>
      </c>
      <c r="K150" s="315">
        <f t="shared" si="56"/>
        <v>134.73773409559689</v>
      </c>
      <c r="L150" s="373">
        <f t="shared" si="41"/>
        <v>0.24799747682397366</v>
      </c>
      <c r="M150" s="134">
        <f t="shared" si="42"/>
        <v>-0.4224794612450925</v>
      </c>
      <c r="N150" s="315">
        <f t="shared" si="43"/>
        <v>136.73771583481312</v>
      </c>
      <c r="O150" s="135">
        <v>2</v>
      </c>
      <c r="P150" s="485">
        <f t="shared" si="58"/>
        <v>136.74221685605335</v>
      </c>
      <c r="Q150" s="132" t="s">
        <v>33</v>
      </c>
      <c r="R150" s="136" t="s">
        <v>33</v>
      </c>
      <c r="S150" s="170">
        <f>1000*SQRT((1-(K150-$K$126-$AF$135)^2/$AD$135/$AD$135)*$AE$135*$AE$135)+$AG$135</f>
        <v>99.527581461514757</v>
      </c>
      <c r="T150" s="170">
        <f>1000*SQRT((1-(N150-$K$126-$AF$135)^2/$AD$135/$AD$135)*$AE$135*$AE$135)+$AG$135</f>
        <v>96.694541958649026</v>
      </c>
      <c r="U150" s="170">
        <f>1000*SQRT((1-(K150-$K$140-$AF$137)^2/$AD$137/$AD$137)*$AE$137*$AE$137)+$AG$137</f>
        <v>72.031138188374555</v>
      </c>
      <c r="V150" s="170">
        <f>1000*SQRT((1-(N150-$K$140-$AF$137)^2/$AD$137/$AD$137)*$AE$137*$AE$137)+$AG$137</f>
        <v>71.198596585113577</v>
      </c>
      <c r="W150" s="132">
        <v>3.5</v>
      </c>
      <c r="X150" s="133">
        <v>3.5</v>
      </c>
      <c r="Y150" s="133">
        <v>2</v>
      </c>
      <c r="Z150" s="136">
        <v>2</v>
      </c>
      <c r="AA150" s="439" t="s">
        <v>31</v>
      </c>
      <c r="AB150" s="136"/>
    </row>
    <row r="151" spans="1:28" x14ac:dyDescent="0.2">
      <c r="A151" s="137" t="s">
        <v>43</v>
      </c>
      <c r="B151" s="138" t="s">
        <v>102</v>
      </c>
      <c r="C151" s="138"/>
      <c r="D151" s="374">
        <v>0</v>
      </c>
      <c r="E151" s="139">
        <f t="shared" si="60"/>
        <v>-0.24484016865061223</v>
      </c>
      <c r="F151" s="259">
        <f>(COS('Coords-Trans'!$T$4)*((COS(-banglerad)*K151+SIN(-banglerad)*I151)*1000+'Coords-Trans'!$J$8-'Coords-Trans'!$J$10)+SIN('Coords-Trans'!$T$4)*((-SIN(-banglerad)*K151+COS(-banglerad)*I151)*1000+'Coords-Trans'!$K$8-'Coords-Trans'!$K$10))</f>
        <v>136706.25875098543</v>
      </c>
      <c r="G151" s="225">
        <f>(-SIN('Coords-Trans'!$T$4)*((COS(-banglerad)*K151+SIN(-banglerad)*I151)*1000+'Coords-Trans'!$J$8-'Coords-Trans'!$J$10)+COS('Coords-Trans'!$T$4)*((-SIN(-banglerad)*K151+COS(-banglerad)*I151)*1000+'Coords-Trans'!$K$8-'Coords-Trans'!$K$10))</f>
        <v>1408.3127380399674</v>
      </c>
      <c r="H151" s="293">
        <f t="shared" si="59"/>
        <v>-422.47946124509252</v>
      </c>
      <c r="I151" s="374">
        <f t="shared" si="54"/>
        <v>0.24799747682397366</v>
      </c>
      <c r="J151" s="139">
        <f t="shared" si="55"/>
        <v>-0.4224794612450925</v>
      </c>
      <c r="K151" s="316">
        <f t="shared" si="56"/>
        <v>136.73771583481312</v>
      </c>
      <c r="L151" s="374">
        <f t="shared" ref="L151:L175" si="61">I151-SIN(E151/180*PI())*O151</f>
        <v>0.24800175007805222</v>
      </c>
      <c r="M151" s="139">
        <f t="shared" ref="M151:M175" si="62">J151+SIN(D151/180*PI())*O151</f>
        <v>-0.4224794612450925</v>
      </c>
      <c r="N151" s="316">
        <f t="shared" ref="N151:N175" si="63">K151+O151*COS(E151*PI()/180)*COS(D151*PI()/180)</f>
        <v>136.73871582568273</v>
      </c>
      <c r="O151" s="140">
        <v>1E-3</v>
      </c>
      <c r="P151" s="486">
        <f t="shared" si="58"/>
        <v>136.74321685605335</v>
      </c>
      <c r="Q151" s="137"/>
      <c r="R151" s="141"/>
      <c r="S151" s="171"/>
      <c r="T151" s="171"/>
      <c r="U151" s="171"/>
      <c r="V151" s="171"/>
      <c r="W151" s="137"/>
      <c r="X151" s="138"/>
      <c r="Y151" s="138"/>
      <c r="Z151" s="141"/>
      <c r="AA151" s="440"/>
      <c r="AB151" s="141"/>
    </row>
    <row r="152" spans="1:28" ht="16" thickBot="1" x14ac:dyDescent="0.25">
      <c r="A152" s="142">
        <v>7</v>
      </c>
      <c r="B152" s="143" t="s">
        <v>102</v>
      </c>
      <c r="C152" s="143" t="s">
        <v>242</v>
      </c>
      <c r="D152" s="375">
        <v>0</v>
      </c>
      <c r="E152" s="144">
        <f t="shared" si="60"/>
        <v>-0.24484016865061223</v>
      </c>
      <c r="F152" s="260">
        <f>(COS('Coords-Trans'!$T$4)*((COS(-banglerad)*K152+SIN(-banglerad)*I152)*1000+'Coords-Trans'!$J$8-'Coords-Trans'!$J$10)+SIN('Coords-Trans'!$T$4)*((-SIN(-banglerad)*K152+COS(-banglerad)*I152)*1000+'Coords-Trans'!$K$8-'Coords-Trans'!$K$10))</f>
        <v>136707.25866648776</v>
      </c>
      <c r="G152" s="226">
        <f>(-SIN('Coords-Trans'!$T$4)*((COS(-banglerad)*K152+SIN(-banglerad)*I152)*1000+'Coords-Trans'!$J$8-'Coords-Trans'!$J$10)+COS('Coords-Trans'!$T$4)*((-SIN(-banglerad)*K152+COS(-banglerad)*I152)*1000+'Coords-Trans'!$K$8-'Coords-Trans'!$K$10))</f>
        <v>1408.3257375871472</v>
      </c>
      <c r="H152" s="294">
        <f t="shared" si="59"/>
        <v>-422.47946124509252</v>
      </c>
      <c r="I152" s="375">
        <f t="shared" si="54"/>
        <v>0.24800175007805222</v>
      </c>
      <c r="J152" s="144">
        <f t="shared" si="55"/>
        <v>-0.4224794612450925</v>
      </c>
      <c r="K152" s="317">
        <f t="shared" si="56"/>
        <v>136.73871582568273</v>
      </c>
      <c r="L152" s="375">
        <f t="shared" si="61"/>
        <v>0.25654825823515043</v>
      </c>
      <c r="M152" s="144">
        <f t="shared" si="62"/>
        <v>-0.4224794612450925</v>
      </c>
      <c r="N152" s="317">
        <f t="shared" si="63"/>
        <v>138.73869756489896</v>
      </c>
      <c r="O152" s="145">
        <v>2</v>
      </c>
      <c r="P152" s="487">
        <f t="shared" si="58"/>
        <v>138.74321685605335</v>
      </c>
      <c r="Q152" s="142" t="s">
        <v>33</v>
      </c>
      <c r="R152" s="146" t="s">
        <v>33</v>
      </c>
      <c r="S152" s="172">
        <f>1000*SQRT((1-(K152-$K$126-$AF$135)^2/$AD$135/$AD$135)*$AE$135*$AE$135)+$AG$135</f>
        <v>96.693047197940373</v>
      </c>
      <c r="T152" s="172">
        <f>1000*SQRT((1-(N152-$K$126-$AF$135)^2/$AD$135/$AD$135)*$AE$135*$AE$135)+$AG$135</f>
        <v>93.537039316881732</v>
      </c>
      <c r="U152" s="172">
        <f>1000*SQRT((1-(K152-$K$140-$AF$137)^2/$AD$137/$AD$137)*$AE$137*$AE$137)+$AG$137</f>
        <v>71.198139823663766</v>
      </c>
      <c r="V152" s="172">
        <f>1000*SQRT((1-(N152-$K$140-$AF$137)^2/$AD$137/$AD$137)*$AE$137*$AE$137)+$AG$137</f>
        <v>70.201527535376442</v>
      </c>
      <c r="W152" s="142">
        <v>3.5</v>
      </c>
      <c r="X152" s="143">
        <v>3.5</v>
      </c>
      <c r="Y152" s="143">
        <v>2.5</v>
      </c>
      <c r="Z152" s="146">
        <v>2.5</v>
      </c>
      <c r="AA152" s="441" t="s">
        <v>31</v>
      </c>
      <c r="AB152" s="146"/>
    </row>
    <row r="153" spans="1:28" ht="16" thickBot="1" x14ac:dyDescent="0.25">
      <c r="A153" s="20" t="s">
        <v>43</v>
      </c>
      <c r="B153" s="20"/>
      <c r="C153" s="20"/>
      <c r="D153" s="374">
        <v>0</v>
      </c>
      <c r="E153" s="36">
        <f t="shared" si="60"/>
        <v>-0.24484016865061223</v>
      </c>
      <c r="F153" s="259">
        <f>(COS('Coords-Trans'!$T$4)*((COS(-banglerad)*K153+SIN(-banglerad)*I153)*1000+'Coords-Trans'!$J$8-'Coords-Trans'!$J$10)+SIN('Coords-Trans'!$T$4)*((-SIN(-banglerad)*K153+COS(-banglerad)*I153)*1000+'Coords-Trans'!$K$8-'Coords-Trans'!$K$10))</f>
        <v>138707.0896711208</v>
      </c>
      <c r="G153" s="227">
        <f>(-SIN('Coords-Trans'!$T$4)*((COS(-banglerad)*K153+SIN(-banglerad)*I153)*1000+'Coords-Trans'!$J$8-'Coords-Trans'!$J$10)+COS('Coords-Trans'!$T$4)*((-SIN(-banglerad)*K153+COS(-banglerad)*I153)*1000+'Coords-Trans'!$K$8-'Coords-Trans'!$K$10))</f>
        <v>1434.3248319627746</v>
      </c>
      <c r="H153" s="293">
        <f t="shared" si="59"/>
        <v>-422.47946124509252</v>
      </c>
      <c r="I153" s="374">
        <f t="shared" si="54"/>
        <v>0.25654825823515043</v>
      </c>
      <c r="J153" s="36">
        <f t="shared" si="55"/>
        <v>-0.4224794612450925</v>
      </c>
      <c r="K153" s="316">
        <f t="shared" si="56"/>
        <v>138.73869756489896</v>
      </c>
      <c r="L153" s="374">
        <f t="shared" si="61"/>
        <v>0.25655680474330755</v>
      </c>
      <c r="M153" s="36">
        <f t="shared" si="62"/>
        <v>-0.4224794612450925</v>
      </c>
      <c r="N153" s="316">
        <f t="shared" si="63"/>
        <v>138.74069754663816</v>
      </c>
      <c r="O153" s="140">
        <v>2E-3</v>
      </c>
      <c r="P153" s="486">
        <f t="shared" si="58"/>
        <v>138.74521685605336</v>
      </c>
      <c r="Q153" s="137"/>
      <c r="R153" s="141"/>
      <c r="S153" s="173"/>
      <c r="T153" s="173"/>
      <c r="U153" s="173"/>
      <c r="V153" s="173"/>
      <c r="W153" s="137"/>
      <c r="X153" s="138"/>
      <c r="Y153" s="138"/>
      <c r="Z153" s="141"/>
      <c r="AA153" s="440"/>
      <c r="AB153" s="20"/>
    </row>
    <row r="154" spans="1:28" x14ac:dyDescent="0.2">
      <c r="A154" s="132">
        <v>7</v>
      </c>
      <c r="B154" s="133" t="s">
        <v>103</v>
      </c>
      <c r="C154" s="133" t="s">
        <v>243</v>
      </c>
      <c r="D154" s="373">
        <v>0</v>
      </c>
      <c r="E154" s="134">
        <f t="shared" si="60"/>
        <v>-0.24484016865061223</v>
      </c>
      <c r="F154" s="258">
        <f>(COS('Coords-Trans'!$T$4)*((COS(-banglerad)*K154+SIN(-banglerad)*I154)*1000+'Coords-Trans'!$J$8-'Coords-Trans'!$J$10)+SIN('Coords-Trans'!$T$4)*((-SIN(-banglerad)*K154+COS(-banglerad)*I154)*1000+'Coords-Trans'!$K$8-'Coords-Trans'!$K$10))</f>
        <v>138709.0895021254</v>
      </c>
      <c r="G154" s="224">
        <f>(-SIN('Coords-Trans'!$T$4)*((COS(-banglerad)*K154+SIN(-banglerad)*I154)*1000+'Coords-Trans'!$J$8-'Coords-Trans'!$J$10)+COS('Coords-Trans'!$T$4)*((-SIN(-banglerad)*K154+COS(-banglerad)*I154)*1000+'Coords-Trans'!$K$8-'Coords-Trans'!$K$10))</f>
        <v>1434.3508310571779</v>
      </c>
      <c r="H154" s="292">
        <f t="shared" si="59"/>
        <v>-422.47946124509252</v>
      </c>
      <c r="I154" s="373">
        <f t="shared" si="54"/>
        <v>0.25655680474330755</v>
      </c>
      <c r="J154" s="134">
        <f t="shared" si="55"/>
        <v>-0.4224794612450925</v>
      </c>
      <c r="K154" s="315">
        <f t="shared" si="56"/>
        <v>138.74069754663816</v>
      </c>
      <c r="L154" s="373">
        <f t="shared" si="61"/>
        <v>0.26510331290040573</v>
      </c>
      <c r="M154" s="134">
        <f t="shared" si="62"/>
        <v>-0.4224794612450925</v>
      </c>
      <c r="N154" s="315">
        <f t="shared" si="63"/>
        <v>140.74067928585438</v>
      </c>
      <c r="O154" s="135">
        <v>2</v>
      </c>
      <c r="P154" s="485">
        <f t="shared" si="58"/>
        <v>140.74521685605336</v>
      </c>
      <c r="Q154" s="132" t="s">
        <v>33</v>
      </c>
      <c r="R154" s="136" t="s">
        <v>33</v>
      </c>
      <c r="S154" s="170">
        <f>1000*SQRT((1-(K154-$K$126-$AF$135)^2/$AD$135/$AD$135)*$AE$135*$AE$135)+$AG$135</f>
        <v>93.533711110448792</v>
      </c>
      <c r="T154" s="170">
        <f>1000*SQRT((1-(N154-$K$126-$AF$135)^2/$AD$135/$AD$135)*$AE$135*$AE$135)+$AG$135</f>
        <v>90.020567740741257</v>
      </c>
      <c r="U154" s="170">
        <f>1000*SQRT((1-(K154-$K$140-$AF$137)^2/$AD$137/$AD$137)*$AE$137*$AE$137)+$AG$137</f>
        <v>70.200446610198853</v>
      </c>
      <c r="V154" s="170">
        <f>1000*SQRT((1-(N154-$K$140-$AF$137)^2/$AD$137/$AD$137)*$AE$137*$AE$137)+$AG$137</f>
        <v>69.032566898852792</v>
      </c>
      <c r="W154" s="132">
        <v>3.5</v>
      </c>
      <c r="X154" s="133">
        <v>3.5</v>
      </c>
      <c r="Y154" s="133">
        <v>2.5</v>
      </c>
      <c r="Z154" s="136">
        <v>2.5</v>
      </c>
      <c r="AA154" s="439" t="s">
        <v>31</v>
      </c>
      <c r="AB154" s="136"/>
    </row>
    <row r="155" spans="1:28" x14ac:dyDescent="0.2">
      <c r="A155" s="137" t="s">
        <v>43</v>
      </c>
      <c r="B155" s="138" t="s">
        <v>103</v>
      </c>
      <c r="C155" s="138"/>
      <c r="D155" s="374">
        <v>0</v>
      </c>
      <c r="E155" s="139">
        <f t="shared" si="60"/>
        <v>-0.24484016865061223</v>
      </c>
      <c r="F155" s="259">
        <f>(COS('Coords-Trans'!$T$4)*((COS(-banglerad)*K155+SIN(-banglerad)*I155)*1000+'Coords-Trans'!$J$8-'Coords-Trans'!$J$10)+SIN('Coords-Trans'!$T$4)*((-SIN(-banglerad)*K155+COS(-banglerad)*I155)*1000+'Coords-Trans'!$K$8-'Coords-Trans'!$K$10))</f>
        <v>140708.92050675847</v>
      </c>
      <c r="G155" s="225">
        <f>(-SIN('Coords-Trans'!$T$4)*((COS(-banglerad)*K155+SIN(-banglerad)*I155)*1000+'Coords-Trans'!$J$8-'Coords-Trans'!$J$10)+COS('Coords-Trans'!$T$4)*((-SIN(-banglerad)*K155+COS(-banglerad)*I155)*1000+'Coords-Trans'!$K$8-'Coords-Trans'!$K$10))</f>
        <v>1460.3499254327908</v>
      </c>
      <c r="H155" s="293">
        <f t="shared" si="59"/>
        <v>-422.47946124509252</v>
      </c>
      <c r="I155" s="374">
        <f t="shared" si="54"/>
        <v>0.26510331290040573</v>
      </c>
      <c r="J155" s="139">
        <f t="shared" si="55"/>
        <v>-0.4224794612450925</v>
      </c>
      <c r="K155" s="316">
        <f t="shared" si="56"/>
        <v>140.74067928585438</v>
      </c>
      <c r="L155" s="374">
        <f t="shared" si="61"/>
        <v>0.26510758615448426</v>
      </c>
      <c r="M155" s="139">
        <f t="shared" si="62"/>
        <v>-0.4224794612450925</v>
      </c>
      <c r="N155" s="316">
        <f t="shared" si="63"/>
        <v>140.741679276724</v>
      </c>
      <c r="O155" s="140">
        <v>1E-3</v>
      </c>
      <c r="P155" s="486">
        <f t="shared" si="58"/>
        <v>140.74621685605337</v>
      </c>
      <c r="Q155" s="137"/>
      <c r="R155" s="141"/>
      <c r="S155" s="171"/>
      <c r="T155" s="171"/>
      <c r="U155" s="171"/>
      <c r="V155" s="171"/>
      <c r="W155" s="137"/>
      <c r="X155" s="138"/>
      <c r="Y155" s="138"/>
      <c r="Z155" s="141"/>
      <c r="AA155" s="440"/>
      <c r="AB155" s="141"/>
    </row>
    <row r="156" spans="1:28" ht="16" thickBot="1" x14ac:dyDescent="0.25">
      <c r="A156" s="142">
        <v>7</v>
      </c>
      <c r="B156" s="143" t="s">
        <v>103</v>
      </c>
      <c r="C156" s="143" t="s">
        <v>244</v>
      </c>
      <c r="D156" s="375">
        <v>0</v>
      </c>
      <c r="E156" s="144">
        <f t="shared" si="60"/>
        <v>-0.24484016865061223</v>
      </c>
      <c r="F156" s="260">
        <f>(COS('Coords-Trans'!$T$4)*((COS(-banglerad)*K156+SIN(-banglerad)*I156)*1000+'Coords-Trans'!$J$8-'Coords-Trans'!$J$10)+SIN('Coords-Trans'!$T$4)*((-SIN(-banglerad)*K156+COS(-banglerad)*I156)*1000+'Coords-Trans'!$K$8-'Coords-Trans'!$K$10))</f>
        <v>140709.92042226082</v>
      </c>
      <c r="G156" s="226">
        <f>(-SIN('Coords-Trans'!$T$4)*((COS(-banglerad)*K156+SIN(-banglerad)*I156)*1000+'Coords-Trans'!$J$8-'Coords-Trans'!$J$10)+COS('Coords-Trans'!$T$4)*((-SIN(-banglerad)*K156+COS(-banglerad)*I156)*1000+'Coords-Trans'!$K$8-'Coords-Trans'!$K$10))</f>
        <v>1460.3629249799851</v>
      </c>
      <c r="H156" s="294">
        <f t="shared" si="59"/>
        <v>-422.47946124509252</v>
      </c>
      <c r="I156" s="375">
        <f t="shared" si="54"/>
        <v>0.26510758615448426</v>
      </c>
      <c r="J156" s="144">
        <f t="shared" si="55"/>
        <v>-0.4224794612450925</v>
      </c>
      <c r="K156" s="317">
        <f t="shared" si="56"/>
        <v>140.741679276724</v>
      </c>
      <c r="L156" s="375">
        <f t="shared" si="61"/>
        <v>0.27365409431158244</v>
      </c>
      <c r="M156" s="144">
        <f t="shared" si="62"/>
        <v>-0.4224794612450925</v>
      </c>
      <c r="N156" s="317">
        <f t="shared" si="63"/>
        <v>142.74166101594022</v>
      </c>
      <c r="O156" s="145">
        <v>2</v>
      </c>
      <c r="P156" s="487">
        <f t="shared" si="58"/>
        <v>142.74621685605337</v>
      </c>
      <c r="Q156" s="142" t="s">
        <v>33</v>
      </c>
      <c r="R156" s="146" t="s">
        <v>33</v>
      </c>
      <c r="S156" s="172">
        <f>1000*SQRT((1-(K156-$K$126-$AF$135)^2/$AD$135/$AD$135)*$AE$135*$AE$135)+$AG$135</f>
        <v>90.018715134466348</v>
      </c>
      <c r="T156" s="172">
        <f>1000*SQRT((1-(N156-$K$126-$AF$135)^2/$AD$135/$AD$135)*$AE$135*$AE$135)+$AG$135</f>
        <v>86.104900856240292</v>
      </c>
      <c r="U156" s="172">
        <f>1000*SQRT((1-(K156-$K$140-$AF$137)^2/$AD$137/$AD$137)*$AE$137*$AE$137)+$AG$137</f>
        <v>69.031938767178744</v>
      </c>
      <c r="V156" s="172">
        <f>1000*SQRT((1-(N156-$K$140-$AF$137)^2/$AD$137/$AD$137)*$AE$137*$AE$137)+$AG$137</f>
        <v>67.684010115402643</v>
      </c>
      <c r="W156" s="142">
        <v>3.5</v>
      </c>
      <c r="X156" s="143">
        <v>3.5</v>
      </c>
      <c r="Y156" s="143">
        <v>2.5</v>
      </c>
      <c r="Z156" s="146">
        <v>2.5</v>
      </c>
      <c r="AA156" s="441" t="s">
        <v>31</v>
      </c>
      <c r="AB156" s="146"/>
    </row>
    <row r="157" spans="1:28" ht="16" thickBot="1" x14ac:dyDescent="0.25">
      <c r="A157" s="20" t="s">
        <v>43</v>
      </c>
      <c r="B157" s="20"/>
      <c r="C157" s="20"/>
      <c r="D157" s="374">
        <v>0</v>
      </c>
      <c r="E157" s="36">
        <f t="shared" si="60"/>
        <v>-0.24484016865061223</v>
      </c>
      <c r="F157" s="259">
        <f>(COS('Coords-Trans'!$T$4)*((COS(-banglerad)*K157+SIN(-banglerad)*I157)*1000+'Coords-Trans'!$J$8-'Coords-Trans'!$J$10)+SIN('Coords-Trans'!$T$4)*((-SIN(-banglerad)*K157+COS(-banglerad)*I157)*1000+'Coords-Trans'!$K$8-'Coords-Trans'!$K$10))</f>
        <v>142709.75142689387</v>
      </c>
      <c r="G157" s="227">
        <f>(-SIN('Coords-Trans'!$T$4)*((COS(-banglerad)*K157+SIN(-banglerad)*I157)*1000+'Coords-Trans'!$J$8-'Coords-Trans'!$J$10)+COS('Coords-Trans'!$T$4)*((-SIN(-banglerad)*K157+COS(-banglerad)*I157)*1000+'Coords-Trans'!$K$8-'Coords-Trans'!$K$10))</f>
        <v>1486.362019355598</v>
      </c>
      <c r="H157" s="293">
        <f t="shared" si="59"/>
        <v>-422.47946124509252</v>
      </c>
      <c r="I157" s="374">
        <f t="shared" si="54"/>
        <v>0.27365409431158244</v>
      </c>
      <c r="J157" s="36">
        <f t="shared" si="55"/>
        <v>-0.4224794612450925</v>
      </c>
      <c r="K157" s="316">
        <f t="shared" si="56"/>
        <v>142.74166101594022</v>
      </c>
      <c r="L157" s="374">
        <f t="shared" si="61"/>
        <v>0.27366264081973957</v>
      </c>
      <c r="M157" s="36">
        <f t="shared" si="62"/>
        <v>-0.4224794612450925</v>
      </c>
      <c r="N157" s="316">
        <f t="shared" si="63"/>
        <v>142.74366099767943</v>
      </c>
      <c r="O157" s="140">
        <v>2E-3</v>
      </c>
      <c r="P157" s="486">
        <f t="shared" si="58"/>
        <v>142.74821685605338</v>
      </c>
      <c r="Q157" s="137"/>
      <c r="R157" s="141"/>
      <c r="S157" s="173"/>
      <c r="T157" s="173"/>
      <c r="U157" s="173"/>
      <c r="V157" s="173"/>
      <c r="W157" s="137"/>
      <c r="X157" s="138"/>
      <c r="Y157" s="138"/>
      <c r="Z157" s="141"/>
      <c r="AA157" s="440"/>
      <c r="AB157" s="20"/>
    </row>
    <row r="158" spans="1:28" x14ac:dyDescent="0.2">
      <c r="A158" s="132">
        <v>7</v>
      </c>
      <c r="B158" s="133" t="s">
        <v>104</v>
      </c>
      <c r="C158" s="133" t="s">
        <v>245</v>
      </c>
      <c r="D158" s="373">
        <v>0</v>
      </c>
      <c r="E158" s="134">
        <f t="shared" si="60"/>
        <v>-0.24484016865061223</v>
      </c>
      <c r="F158" s="258">
        <f>(COS('Coords-Trans'!$T$4)*((COS(-banglerad)*K158+SIN(-banglerad)*I158)*1000+'Coords-Trans'!$J$8-'Coords-Trans'!$J$10)+SIN('Coords-Trans'!$T$4)*((-SIN(-banglerad)*K158+COS(-banglerad)*I158)*1000+'Coords-Trans'!$K$8-'Coords-Trans'!$K$10))</f>
        <v>142711.75125789849</v>
      </c>
      <c r="G158" s="224">
        <f>(-SIN('Coords-Trans'!$T$4)*((COS(-banglerad)*K158+SIN(-banglerad)*I158)*1000+'Coords-Trans'!$J$8-'Coords-Trans'!$J$10)+COS('Coords-Trans'!$T$4)*((-SIN(-banglerad)*K158+COS(-banglerad)*I158)*1000+'Coords-Trans'!$K$8-'Coords-Trans'!$K$10))</f>
        <v>1486.3880184499722</v>
      </c>
      <c r="H158" s="292">
        <f t="shared" si="59"/>
        <v>-422.47946124509252</v>
      </c>
      <c r="I158" s="373">
        <f t="shared" si="54"/>
        <v>0.27366264081973957</v>
      </c>
      <c r="J158" s="134">
        <f t="shared" si="55"/>
        <v>-0.4224794612450925</v>
      </c>
      <c r="K158" s="315">
        <f t="shared" si="56"/>
        <v>142.74366099767943</v>
      </c>
      <c r="L158" s="373">
        <f t="shared" si="61"/>
        <v>0.28220914897683774</v>
      </c>
      <c r="M158" s="134">
        <f t="shared" si="62"/>
        <v>-0.4224794612450925</v>
      </c>
      <c r="N158" s="315">
        <f t="shared" si="63"/>
        <v>144.74364273689565</v>
      </c>
      <c r="O158" s="135">
        <v>2</v>
      </c>
      <c r="P158" s="485">
        <f t="shared" si="58"/>
        <v>144.74821685605338</v>
      </c>
      <c r="Q158" s="132" t="s">
        <v>33</v>
      </c>
      <c r="R158" s="136" t="s">
        <v>33</v>
      </c>
      <c r="S158" s="170">
        <f>1000*SQRT((1-(K158-$K$126-$AF$135)^2/$AD$135/$AD$135)*$AE$135*$AE$135)+$AG$135</f>
        <v>86.100768834646544</v>
      </c>
      <c r="T158" s="170">
        <f>1000*SQRT((1-(N158-$K$126-$AF$135)^2/$AD$135/$AD$135)*$AE$135*$AE$135)+$AG$135</f>
        <v>81.728467656305341</v>
      </c>
      <c r="U158" s="170">
        <f>1000*SQRT((1-(K158-$K$140-$AF$137)^2/$AD$137/$AD$137)*$AE$137*$AE$137)+$AG$137</f>
        <v>67.682568646398792</v>
      </c>
      <c r="V158" s="170">
        <f>1000*SQRT((1-(N158-$K$140-$AF$137)^2/$AD$137/$AD$137)*$AE$137*$AE$137)+$AG$137</f>
        <v>66.143480316232726</v>
      </c>
      <c r="W158" s="132">
        <v>3.5</v>
      </c>
      <c r="X158" s="133">
        <v>3.5</v>
      </c>
      <c r="Y158" s="133">
        <v>3</v>
      </c>
      <c r="Z158" s="136">
        <v>3</v>
      </c>
      <c r="AA158" s="439" t="s">
        <v>31</v>
      </c>
      <c r="AB158" s="136"/>
    </row>
    <row r="159" spans="1:28" x14ac:dyDescent="0.2">
      <c r="A159" s="137" t="s">
        <v>43</v>
      </c>
      <c r="B159" s="138" t="s">
        <v>104</v>
      </c>
      <c r="C159" s="138"/>
      <c r="D159" s="374">
        <v>0</v>
      </c>
      <c r="E159" s="139">
        <f t="shared" si="60"/>
        <v>-0.24484016865061223</v>
      </c>
      <c r="F159" s="259">
        <f>(COS('Coords-Trans'!$T$4)*((COS(-banglerad)*K159+SIN(-banglerad)*I159)*1000+'Coords-Trans'!$J$8-'Coords-Trans'!$J$10)+SIN('Coords-Trans'!$T$4)*((-SIN(-banglerad)*K159+COS(-banglerad)*I159)*1000+'Coords-Trans'!$K$8-'Coords-Trans'!$K$10))</f>
        <v>144711.58226253156</v>
      </c>
      <c r="G159" s="225">
        <f>(-SIN('Coords-Trans'!$T$4)*((COS(-banglerad)*K159+SIN(-banglerad)*I159)*1000+'Coords-Trans'!$J$8-'Coords-Trans'!$J$10)+COS('Coords-Trans'!$T$4)*((-SIN(-banglerad)*K159+COS(-banglerad)*I159)*1000+'Coords-Trans'!$K$8-'Coords-Trans'!$K$10))</f>
        <v>1512.3871128255996</v>
      </c>
      <c r="H159" s="293">
        <f t="shared" si="59"/>
        <v>-422.47946124509252</v>
      </c>
      <c r="I159" s="374">
        <f t="shared" si="54"/>
        <v>0.28220914897683774</v>
      </c>
      <c r="J159" s="139">
        <f t="shared" si="55"/>
        <v>-0.4224794612450925</v>
      </c>
      <c r="K159" s="316">
        <f t="shared" si="56"/>
        <v>144.74364273689565</v>
      </c>
      <c r="L159" s="374">
        <f t="shared" si="61"/>
        <v>0.28221342223091628</v>
      </c>
      <c r="M159" s="139">
        <f t="shared" si="62"/>
        <v>-0.4224794612450925</v>
      </c>
      <c r="N159" s="316">
        <f t="shared" si="63"/>
        <v>144.74464272776527</v>
      </c>
      <c r="O159" s="140">
        <v>1E-3</v>
      </c>
      <c r="P159" s="486">
        <f t="shared" si="58"/>
        <v>144.74921685605338</v>
      </c>
      <c r="Q159" s="137"/>
      <c r="R159" s="141"/>
      <c r="S159" s="171"/>
      <c r="T159" s="171"/>
      <c r="U159" s="171"/>
      <c r="V159" s="171"/>
      <c r="W159" s="137"/>
      <c r="X159" s="138"/>
      <c r="Y159" s="138"/>
      <c r="Z159" s="141"/>
      <c r="AA159" s="440"/>
      <c r="AB159" s="141"/>
    </row>
    <row r="160" spans="1:28" ht="16" thickBot="1" x14ac:dyDescent="0.25">
      <c r="A160" s="142">
        <v>7</v>
      </c>
      <c r="B160" s="143" t="s">
        <v>104</v>
      </c>
      <c r="C160" s="143" t="s">
        <v>246</v>
      </c>
      <c r="D160" s="375">
        <v>0</v>
      </c>
      <c r="E160" s="144">
        <f t="shared" si="60"/>
        <v>-0.24484016865061223</v>
      </c>
      <c r="F160" s="260">
        <f>(COS('Coords-Trans'!$T$4)*((COS(-banglerad)*K160+SIN(-banglerad)*I160)*1000+'Coords-Trans'!$J$8-'Coords-Trans'!$J$10)+SIN('Coords-Trans'!$T$4)*((-SIN(-banglerad)*K160+COS(-banglerad)*I160)*1000+'Coords-Trans'!$K$8-'Coords-Trans'!$K$10))</f>
        <v>144712.58217803389</v>
      </c>
      <c r="G160" s="226">
        <f>(-SIN('Coords-Trans'!$T$4)*((COS(-banglerad)*K160+SIN(-banglerad)*I160)*1000+'Coords-Trans'!$J$8-'Coords-Trans'!$J$10)+COS('Coords-Trans'!$T$4)*((-SIN(-banglerad)*K160+COS(-banglerad)*I160)*1000+'Coords-Trans'!$K$8-'Coords-Trans'!$K$10))</f>
        <v>1512.4001123727794</v>
      </c>
      <c r="H160" s="294">
        <f t="shared" si="59"/>
        <v>-422.47946124509252</v>
      </c>
      <c r="I160" s="375">
        <f t="shared" si="54"/>
        <v>0.28221342223091628</v>
      </c>
      <c r="J160" s="144">
        <f t="shared" si="55"/>
        <v>-0.4224794612450925</v>
      </c>
      <c r="K160" s="317">
        <f t="shared" si="56"/>
        <v>144.74464272776527</v>
      </c>
      <c r="L160" s="375">
        <f t="shared" si="61"/>
        <v>0.29075993038801445</v>
      </c>
      <c r="M160" s="144">
        <f t="shared" si="62"/>
        <v>-0.4224794612450925</v>
      </c>
      <c r="N160" s="317">
        <f t="shared" si="63"/>
        <v>146.74462446698149</v>
      </c>
      <c r="O160" s="145">
        <v>2</v>
      </c>
      <c r="P160" s="487">
        <f t="shared" si="58"/>
        <v>146.74921685605338</v>
      </c>
      <c r="Q160" s="142" t="s">
        <v>33</v>
      </c>
      <c r="R160" s="146" t="s">
        <v>33</v>
      </c>
      <c r="S160" s="172">
        <f>1000*SQRT((1-(K160-$K$126-$AF$135)^2/$AD$135/$AD$135)*$AE$135*$AE$135)+$AG$135</f>
        <v>81.726154992188341</v>
      </c>
      <c r="T160" s="172">
        <f>1000*SQRT((1-(N160-$K$126-$AF$135)^2/$AD$135/$AD$135)*$AE$135*$AE$135)+$AG$135</f>
        <v>76.817327576972971</v>
      </c>
      <c r="U160" s="172">
        <f>1000*SQRT((1-(K160-$K$140-$AF$137)^2/$AD$137/$AD$137)*$AE$137*$AE$137)+$AG$137</f>
        <v>66.14266084990453</v>
      </c>
      <c r="V160" s="172">
        <f>1000*SQRT((1-(N160-$K$140-$AF$137)^2/$AD$137/$AD$137)*$AE$137*$AE$137)+$AG$137</f>
        <v>64.398800773369047</v>
      </c>
      <c r="W160" s="142">
        <v>3.5</v>
      </c>
      <c r="X160" s="143">
        <v>3.5</v>
      </c>
      <c r="Y160" s="143">
        <v>3</v>
      </c>
      <c r="Z160" s="146">
        <v>3</v>
      </c>
      <c r="AA160" s="441" t="s">
        <v>31</v>
      </c>
      <c r="AB160" s="146"/>
    </row>
    <row r="161" spans="1:28" ht="16" thickBot="1" x14ac:dyDescent="0.25">
      <c r="A161" s="20" t="s">
        <v>43</v>
      </c>
      <c r="B161" s="20"/>
      <c r="C161" s="20"/>
      <c r="D161" s="374">
        <v>0</v>
      </c>
      <c r="E161" s="36">
        <f t="shared" si="60"/>
        <v>-0.24484016865061223</v>
      </c>
      <c r="F161" s="259">
        <f>(COS('Coords-Trans'!$T$4)*((COS(-banglerad)*K161+SIN(-banglerad)*I161)*1000+'Coords-Trans'!$J$8-'Coords-Trans'!$J$10)+SIN('Coords-Trans'!$T$4)*((-SIN(-banglerad)*K161+COS(-banglerad)*I161)*1000+'Coords-Trans'!$K$8-'Coords-Trans'!$K$10))</f>
        <v>146712.41318266693</v>
      </c>
      <c r="G161" s="227">
        <f>(-SIN('Coords-Trans'!$T$4)*((COS(-banglerad)*K161+SIN(-banglerad)*I161)*1000+'Coords-Trans'!$J$8-'Coords-Trans'!$J$10)+COS('Coords-Trans'!$T$4)*((-SIN(-banglerad)*K161+COS(-banglerad)*I161)*1000+'Coords-Trans'!$K$8-'Coords-Trans'!$K$10))</f>
        <v>1538.3992067484069</v>
      </c>
      <c r="H161" s="293">
        <f t="shared" si="59"/>
        <v>-422.47946124509252</v>
      </c>
      <c r="I161" s="374">
        <f t="shared" si="54"/>
        <v>0.29075993038801445</v>
      </c>
      <c r="J161" s="36">
        <f t="shared" si="55"/>
        <v>-0.4224794612450925</v>
      </c>
      <c r="K161" s="316">
        <f t="shared" si="56"/>
        <v>146.74462446698149</v>
      </c>
      <c r="L161" s="374">
        <f t="shared" si="61"/>
        <v>0.29076847689617158</v>
      </c>
      <c r="M161" s="36">
        <f t="shared" si="62"/>
        <v>-0.4224794612450925</v>
      </c>
      <c r="N161" s="316">
        <f t="shared" si="63"/>
        <v>146.74662444872069</v>
      </c>
      <c r="O161" s="140">
        <v>2E-3</v>
      </c>
      <c r="P161" s="486">
        <f t="shared" si="58"/>
        <v>146.75121685605339</v>
      </c>
      <c r="Q161" s="137"/>
      <c r="R161" s="141"/>
      <c r="S161" s="173"/>
      <c r="T161" s="173"/>
      <c r="U161" s="173"/>
      <c r="V161" s="173"/>
      <c r="W161" s="137"/>
      <c r="X161" s="138"/>
      <c r="Y161" s="138"/>
      <c r="Z161" s="141"/>
      <c r="AA161" s="440"/>
      <c r="AB161" s="20"/>
    </row>
    <row r="162" spans="1:28" x14ac:dyDescent="0.2">
      <c r="A162" s="132">
        <v>7</v>
      </c>
      <c r="B162" s="133" t="s">
        <v>105</v>
      </c>
      <c r="C162" s="133" t="s">
        <v>247</v>
      </c>
      <c r="D162" s="373">
        <v>0</v>
      </c>
      <c r="E162" s="134">
        <f>$E$65</f>
        <v>-0.24484016865061223</v>
      </c>
      <c r="F162" s="258">
        <f>(COS('Coords-Trans'!$T$4)*((COS(-banglerad)*K162+SIN(-banglerad)*I162)*1000+'Coords-Trans'!$J$8-'Coords-Trans'!$J$10)+SIN('Coords-Trans'!$T$4)*((-SIN(-banglerad)*K162+COS(-banglerad)*I162)*1000+'Coords-Trans'!$K$8-'Coords-Trans'!$K$10))</f>
        <v>146714.41301367155</v>
      </c>
      <c r="G162" s="224">
        <f>(-SIN('Coords-Trans'!$T$4)*((COS(-banglerad)*K162+SIN(-banglerad)*I162)*1000+'Coords-Trans'!$J$8-'Coords-Trans'!$J$10)+COS('Coords-Trans'!$T$4)*((-SIN(-banglerad)*K162+COS(-banglerad)*I162)*1000+'Coords-Trans'!$K$8-'Coords-Trans'!$K$10))</f>
        <v>1538.4252058427955</v>
      </c>
      <c r="H162" s="292">
        <f t="shared" si="59"/>
        <v>-422.47946124509252</v>
      </c>
      <c r="I162" s="373">
        <f t="shared" si="54"/>
        <v>0.29076847689617158</v>
      </c>
      <c r="J162" s="134">
        <f t="shared" si="55"/>
        <v>-0.4224794612450925</v>
      </c>
      <c r="K162" s="315">
        <f t="shared" si="56"/>
        <v>146.74662444872069</v>
      </c>
      <c r="L162" s="373">
        <f t="shared" si="61"/>
        <v>0.29931498505326976</v>
      </c>
      <c r="M162" s="134">
        <f t="shared" si="62"/>
        <v>-0.4224794612450925</v>
      </c>
      <c r="N162" s="315">
        <f t="shared" si="63"/>
        <v>148.74660618793692</v>
      </c>
      <c r="O162" s="135">
        <v>2</v>
      </c>
      <c r="P162" s="485">
        <f t="shared" si="58"/>
        <v>148.75121685605339</v>
      </c>
      <c r="Q162" s="132" t="s">
        <v>33</v>
      </c>
      <c r="R162" s="136" t="s">
        <v>33</v>
      </c>
      <c r="S162" s="170">
        <f>1000*SQRT((1-(K162-$K$126-$AF$135)^2/$AD$135/$AD$135)*$AE$135*$AE$135)+$AG$135</f>
        <v>76.812116954628337</v>
      </c>
      <c r="T162" s="170">
        <f>1000*SQRT((1-(N162-$K$126-$AF$135)^2/$AD$135/$AD$135)*$AE$135*$AE$135)+$AG$135</f>
        <v>71.255553270183924</v>
      </c>
      <c r="U162" s="170">
        <f>1000*SQRT((1-(K162-$K$140-$AF$137)^2/$AD$137/$AD$137)*$AE$137*$AE$137)+$AG$137</f>
        <v>64.396949086288501</v>
      </c>
      <c r="V162" s="170">
        <f>1000*SQRT((1-(N162-$K$140-$AF$137)^2/$AD$137/$AD$137)*$AE$137*$AE$137)+$AG$137</f>
        <v>62.431035893917254</v>
      </c>
      <c r="W162" s="132">
        <v>3.5</v>
      </c>
      <c r="X162" s="133">
        <v>3.5</v>
      </c>
      <c r="Y162" s="133">
        <v>3</v>
      </c>
      <c r="Z162" s="136">
        <v>3</v>
      </c>
      <c r="AA162" s="439" t="s">
        <v>31</v>
      </c>
      <c r="AB162" s="136"/>
    </row>
    <row r="163" spans="1:28" x14ac:dyDescent="0.2">
      <c r="A163" s="137" t="s">
        <v>43</v>
      </c>
      <c r="B163" s="138" t="s">
        <v>105</v>
      </c>
      <c r="C163" s="138"/>
      <c r="D163" s="374">
        <v>0</v>
      </c>
      <c r="E163" s="139">
        <f t="shared" ref="E163:E175" si="64">$E$65</f>
        <v>-0.24484016865061223</v>
      </c>
      <c r="F163" s="259">
        <f>(COS('Coords-Trans'!$T$4)*((COS(-banglerad)*K163+SIN(-banglerad)*I163)*1000+'Coords-Trans'!$J$8-'Coords-Trans'!$J$10)+SIN('Coords-Trans'!$T$4)*((-SIN(-banglerad)*K163+COS(-banglerad)*I163)*1000+'Coords-Trans'!$K$8-'Coords-Trans'!$K$10))</f>
        <v>148714.24401830463</v>
      </c>
      <c r="G163" s="225">
        <f>(-SIN('Coords-Trans'!$T$4)*((COS(-banglerad)*K163+SIN(-banglerad)*I163)*1000+'Coords-Trans'!$J$8-'Coords-Trans'!$J$10)+COS('Coords-Trans'!$T$4)*((-SIN(-banglerad)*K163+COS(-banglerad)*I163)*1000+'Coords-Trans'!$K$8-'Coords-Trans'!$K$10))</f>
        <v>1564.4243002184085</v>
      </c>
      <c r="H163" s="293">
        <f t="shared" si="59"/>
        <v>-422.47946124509252</v>
      </c>
      <c r="I163" s="374">
        <f t="shared" si="54"/>
        <v>0.29931498505326976</v>
      </c>
      <c r="J163" s="139">
        <f t="shared" si="55"/>
        <v>-0.4224794612450925</v>
      </c>
      <c r="K163" s="316">
        <f t="shared" si="56"/>
        <v>148.74660618793692</v>
      </c>
      <c r="L163" s="374">
        <f t="shared" si="61"/>
        <v>0.29931925830734829</v>
      </c>
      <c r="M163" s="139">
        <f t="shared" si="62"/>
        <v>-0.4224794612450925</v>
      </c>
      <c r="N163" s="316">
        <f t="shared" si="63"/>
        <v>148.74760617880654</v>
      </c>
      <c r="O163" s="140">
        <v>1E-3</v>
      </c>
      <c r="P163" s="486">
        <f t="shared" si="58"/>
        <v>148.75221685605339</v>
      </c>
      <c r="Q163" s="137"/>
      <c r="R163" s="141"/>
      <c r="S163" s="171"/>
      <c r="T163" s="171"/>
      <c r="U163" s="171"/>
      <c r="V163" s="171"/>
      <c r="W163" s="137"/>
      <c r="X163" s="138"/>
      <c r="Y163" s="138"/>
      <c r="Z163" s="141"/>
      <c r="AA163" s="440"/>
      <c r="AB163" s="141"/>
    </row>
    <row r="164" spans="1:28" ht="16" thickBot="1" x14ac:dyDescent="0.25">
      <c r="A164" s="142">
        <v>7</v>
      </c>
      <c r="B164" s="143" t="s">
        <v>105</v>
      </c>
      <c r="C164" s="143" t="s">
        <v>248</v>
      </c>
      <c r="D164" s="375">
        <v>0</v>
      </c>
      <c r="E164" s="144">
        <f t="shared" si="64"/>
        <v>-0.24484016865061223</v>
      </c>
      <c r="F164" s="260">
        <f>(COS('Coords-Trans'!$T$4)*((COS(-banglerad)*K164+SIN(-banglerad)*I164)*1000+'Coords-Trans'!$J$8-'Coords-Trans'!$J$10)+SIN('Coords-Trans'!$T$4)*((-SIN(-banglerad)*K164+COS(-banglerad)*I164)*1000+'Coords-Trans'!$K$8-'Coords-Trans'!$K$10))</f>
        <v>148715.24393380695</v>
      </c>
      <c r="G164" s="226">
        <f>(-SIN('Coords-Trans'!$T$4)*((COS(-banglerad)*K164+SIN(-banglerad)*I164)*1000+'Coords-Trans'!$J$8-'Coords-Trans'!$J$10)+COS('Coords-Trans'!$T$4)*((-SIN(-banglerad)*K164+COS(-banglerad)*I164)*1000+'Coords-Trans'!$K$8-'Coords-Trans'!$K$10))</f>
        <v>1564.4372997656174</v>
      </c>
      <c r="H164" s="294">
        <f t="shared" si="59"/>
        <v>-422.47946124509252</v>
      </c>
      <c r="I164" s="375">
        <f t="shared" si="54"/>
        <v>0.29931925830734829</v>
      </c>
      <c r="J164" s="144">
        <f t="shared" si="55"/>
        <v>-0.4224794612450925</v>
      </c>
      <c r="K164" s="317">
        <f t="shared" si="56"/>
        <v>148.74760617880654</v>
      </c>
      <c r="L164" s="375">
        <f t="shared" si="61"/>
        <v>0.30786576646444647</v>
      </c>
      <c r="M164" s="144">
        <f t="shared" si="62"/>
        <v>-0.4224794612450925</v>
      </c>
      <c r="N164" s="317">
        <f t="shared" si="63"/>
        <v>150.74758791802276</v>
      </c>
      <c r="O164" s="145">
        <v>2</v>
      </c>
      <c r="P164" s="487">
        <f t="shared" si="58"/>
        <v>150.75221685605339</v>
      </c>
      <c r="Q164" s="142" t="s">
        <v>33</v>
      </c>
      <c r="R164" s="146" t="s">
        <v>33</v>
      </c>
      <c r="S164" s="172">
        <f>1000*SQRT((1-(K164-$K$126-$AF$135)^2/$AD$135/$AD$135)*$AE$135*$AE$135)+$AG$135</f>
        <v>71.252588601847265</v>
      </c>
      <c r="T164" s="172">
        <f>1000*SQRT((1-(N164-$K$126-$AF$135)^2/$AD$135/$AD$135)*$AE$135*$AE$135)+$AG$135</f>
        <v>64.88236523110794</v>
      </c>
      <c r="U164" s="172">
        <f>1000*SQRT((1-(K164-$K$140-$AF$137)^2/$AD$137/$AD$137)*$AE$137*$AE$137)+$AG$137</f>
        <v>62.429994052537836</v>
      </c>
      <c r="V164" s="172">
        <f>1000*SQRT((1-(N164-$K$140-$AF$137)^2/$AD$137/$AD$137)*$AE$137*$AE$137)+$AG$137</f>
        <v>60.220390363552674</v>
      </c>
      <c r="W164" s="142">
        <v>3.5</v>
      </c>
      <c r="X164" s="143">
        <v>3.5</v>
      </c>
      <c r="Y164" s="143">
        <v>3.5</v>
      </c>
      <c r="Z164" s="146">
        <v>3.5</v>
      </c>
      <c r="AA164" s="441" t="s">
        <v>31</v>
      </c>
      <c r="AB164" s="146"/>
    </row>
    <row r="165" spans="1:28" ht="16" thickBot="1" x14ac:dyDescent="0.25">
      <c r="A165" s="20" t="s">
        <v>43</v>
      </c>
      <c r="B165" s="20"/>
      <c r="C165" s="20"/>
      <c r="D165" s="374">
        <v>0</v>
      </c>
      <c r="E165" s="36">
        <f t="shared" si="64"/>
        <v>-0.24484016865061223</v>
      </c>
      <c r="F165" s="259">
        <f>(COS('Coords-Trans'!$T$4)*((COS(-banglerad)*K165+SIN(-banglerad)*I165)*1000+'Coords-Trans'!$J$8-'Coords-Trans'!$J$10)+SIN('Coords-Trans'!$T$4)*((-SIN(-banglerad)*K165+COS(-banglerad)*I165)*1000+'Coords-Trans'!$K$8-'Coords-Trans'!$K$10))</f>
        <v>150715.07493844</v>
      </c>
      <c r="G165" s="227">
        <f>(-SIN('Coords-Trans'!$T$4)*((COS(-banglerad)*K165+SIN(-banglerad)*I165)*1000+'Coords-Trans'!$J$8-'Coords-Trans'!$J$10)+COS('Coords-Trans'!$T$4)*((-SIN(-banglerad)*K165+COS(-banglerad)*I165)*1000+'Coords-Trans'!$K$8-'Coords-Trans'!$K$10))</f>
        <v>1590.4363941412157</v>
      </c>
      <c r="H165" s="293">
        <f t="shared" si="59"/>
        <v>-422.47946124509252</v>
      </c>
      <c r="I165" s="374">
        <f t="shared" si="54"/>
        <v>0.30786576646444647</v>
      </c>
      <c r="J165" s="36">
        <f t="shared" si="55"/>
        <v>-0.4224794612450925</v>
      </c>
      <c r="K165" s="316">
        <f t="shared" si="56"/>
        <v>150.74758791802276</v>
      </c>
      <c r="L165" s="374">
        <f t="shared" si="61"/>
        <v>0.30787431297260359</v>
      </c>
      <c r="M165" s="36">
        <f t="shared" si="62"/>
        <v>-0.4224794612450925</v>
      </c>
      <c r="N165" s="316">
        <f t="shared" si="63"/>
        <v>150.74958789976196</v>
      </c>
      <c r="O165" s="140">
        <v>2E-3</v>
      </c>
      <c r="P165" s="486">
        <f t="shared" si="58"/>
        <v>150.7542168560534</v>
      </c>
      <c r="Q165" s="137"/>
      <c r="R165" s="141"/>
      <c r="S165" s="173"/>
      <c r="T165" s="173"/>
      <c r="U165" s="173"/>
      <c r="V165" s="173"/>
      <c r="W165" s="137"/>
      <c r="X165" s="138"/>
      <c r="Y165" s="138"/>
      <c r="Z165" s="141"/>
      <c r="AA165" s="440"/>
      <c r="AB165" s="20"/>
    </row>
    <row r="166" spans="1:28" x14ac:dyDescent="0.2">
      <c r="A166" s="132">
        <v>7</v>
      </c>
      <c r="B166" s="133" t="s">
        <v>106</v>
      </c>
      <c r="C166" s="133" t="s">
        <v>249</v>
      </c>
      <c r="D166" s="373">
        <v>0</v>
      </c>
      <c r="E166" s="134">
        <f t="shared" si="64"/>
        <v>-0.24484016865061223</v>
      </c>
      <c r="F166" s="258">
        <f>(COS('Coords-Trans'!$T$4)*((COS(-banglerad)*K166+SIN(-banglerad)*I166)*1000+'Coords-Trans'!$J$8-'Coords-Trans'!$J$10)+SIN('Coords-Trans'!$T$4)*((-SIN(-banglerad)*K166+COS(-banglerad)*I166)*1000+'Coords-Trans'!$K$8-'Coords-Trans'!$K$10))</f>
        <v>150717.07476944465</v>
      </c>
      <c r="G166" s="224">
        <f>(-SIN('Coords-Trans'!$T$4)*((COS(-banglerad)*K166+SIN(-banglerad)*I166)*1000+'Coords-Trans'!$J$8-'Coords-Trans'!$J$10)+COS('Coords-Trans'!$T$4)*((-SIN(-banglerad)*K166+COS(-banglerad)*I166)*1000+'Coords-Trans'!$K$8-'Coords-Trans'!$K$10))</f>
        <v>1590.4623932356044</v>
      </c>
      <c r="H166" s="292">
        <f t="shared" si="59"/>
        <v>-422.47946124509252</v>
      </c>
      <c r="I166" s="373">
        <f t="shared" si="54"/>
        <v>0.30787431297260359</v>
      </c>
      <c r="J166" s="134">
        <f t="shared" si="55"/>
        <v>-0.4224794612450925</v>
      </c>
      <c r="K166" s="315">
        <f t="shared" si="56"/>
        <v>150.74958789976196</v>
      </c>
      <c r="L166" s="373">
        <f t="shared" si="61"/>
        <v>0.31642082112970177</v>
      </c>
      <c r="M166" s="134">
        <f t="shared" si="62"/>
        <v>-0.4224794612450925</v>
      </c>
      <c r="N166" s="315">
        <f t="shared" si="63"/>
        <v>152.74956963897819</v>
      </c>
      <c r="O166" s="135">
        <v>2</v>
      </c>
      <c r="P166" s="485">
        <f t="shared" si="58"/>
        <v>152.7542168560534</v>
      </c>
      <c r="Q166" s="132" t="s">
        <v>33</v>
      </c>
      <c r="R166" s="136" t="s">
        <v>33</v>
      </c>
      <c r="S166" s="170">
        <f>1000*SQRT((1-(K166-$K$126-$AF$135)^2/$AD$135/$AD$135)*$AE$135*$AE$135)+$AG$135</f>
        <v>64.875510522042717</v>
      </c>
      <c r="T166" s="170">
        <f>1000*SQRT((1-(N166-$K$126-$AF$135)^2/$AD$135/$AD$135)*$AE$135*$AE$135)+$AG$135</f>
        <v>57.420701454633978</v>
      </c>
      <c r="U166" s="170">
        <f>1000*SQRT((1-(K166-$K$140-$AF$137)^2/$AD$137/$AD$137)*$AE$137*$AE$137)+$AG$137</f>
        <v>60.218050146231221</v>
      </c>
      <c r="V166" s="170">
        <f>1000*SQRT((1-(N166-$K$140-$AF$137)^2/$AD$137/$AD$137)*$AE$137*$AE$137)+$AG$137</f>
        <v>57.736626641809821</v>
      </c>
      <c r="W166" s="132">
        <v>3.5</v>
      </c>
      <c r="X166" s="133">
        <v>3.5</v>
      </c>
      <c r="Y166" s="133">
        <v>3.5</v>
      </c>
      <c r="Z166" s="136">
        <v>3.5</v>
      </c>
      <c r="AA166" s="439" t="s">
        <v>31</v>
      </c>
      <c r="AB166" s="136"/>
    </row>
    <row r="167" spans="1:28" x14ac:dyDescent="0.2">
      <c r="A167" s="137" t="s">
        <v>43</v>
      </c>
      <c r="B167" s="138" t="s">
        <v>106</v>
      </c>
      <c r="C167" s="138"/>
      <c r="D167" s="374">
        <v>0</v>
      </c>
      <c r="E167" s="139">
        <f t="shared" si="64"/>
        <v>-0.24484016865061223</v>
      </c>
      <c r="F167" s="259">
        <f>(COS('Coords-Trans'!$T$4)*((COS(-banglerad)*K167+SIN(-banglerad)*I167)*1000+'Coords-Trans'!$J$8-'Coords-Trans'!$J$10)+SIN('Coords-Trans'!$T$4)*((-SIN(-banglerad)*K167+COS(-banglerad)*I167)*1000+'Coords-Trans'!$K$8-'Coords-Trans'!$K$10))</f>
        <v>152716.90577407769</v>
      </c>
      <c r="G167" s="225">
        <f>(-SIN('Coords-Trans'!$T$4)*((COS(-banglerad)*K167+SIN(-banglerad)*I167)*1000+'Coords-Trans'!$J$8-'Coords-Trans'!$J$10)+COS('Coords-Trans'!$T$4)*((-SIN(-banglerad)*K167+COS(-banglerad)*I167)*1000+'Coords-Trans'!$K$8-'Coords-Trans'!$K$10))</f>
        <v>1616.4614876112464</v>
      </c>
      <c r="H167" s="293">
        <f t="shared" si="59"/>
        <v>-422.47946124509252</v>
      </c>
      <c r="I167" s="374">
        <f t="shared" si="54"/>
        <v>0.31642082112970177</v>
      </c>
      <c r="J167" s="139">
        <f t="shared" si="55"/>
        <v>-0.4224794612450925</v>
      </c>
      <c r="K167" s="316">
        <f t="shared" si="56"/>
        <v>152.74956963897819</v>
      </c>
      <c r="L167" s="374">
        <f t="shared" si="61"/>
        <v>0.3164250943837803</v>
      </c>
      <c r="M167" s="139">
        <f t="shared" si="62"/>
        <v>-0.4224794612450925</v>
      </c>
      <c r="N167" s="316">
        <f t="shared" si="63"/>
        <v>152.7505696298478</v>
      </c>
      <c r="O167" s="140">
        <v>1E-3</v>
      </c>
      <c r="P167" s="486">
        <f t="shared" si="58"/>
        <v>152.75521685605341</v>
      </c>
      <c r="Q167" s="137"/>
      <c r="R167" s="141"/>
      <c r="S167" s="171"/>
      <c r="T167" s="171"/>
      <c r="U167" s="171"/>
      <c r="V167" s="171"/>
      <c r="W167" s="137"/>
      <c r="X167" s="138"/>
      <c r="Y167" s="138"/>
      <c r="Z167" s="141"/>
      <c r="AA167" s="440"/>
      <c r="AB167" s="141"/>
    </row>
    <row r="168" spans="1:28" ht="16" thickBot="1" x14ac:dyDescent="0.25">
      <c r="A168" s="142">
        <v>7</v>
      </c>
      <c r="B168" s="143" t="s">
        <v>106</v>
      </c>
      <c r="C168" s="143" t="s">
        <v>250</v>
      </c>
      <c r="D168" s="375">
        <v>0</v>
      </c>
      <c r="E168" s="144">
        <f t="shared" si="64"/>
        <v>-0.24484016865061223</v>
      </c>
      <c r="F168" s="260">
        <f>(COS('Coords-Trans'!$T$4)*((COS(-banglerad)*K168+SIN(-banglerad)*I168)*1000+'Coords-Trans'!$J$8-'Coords-Trans'!$J$10)+SIN('Coords-Trans'!$T$4)*((-SIN(-banglerad)*K168+COS(-banglerad)*I168)*1000+'Coords-Trans'!$K$8-'Coords-Trans'!$K$10))</f>
        <v>152717.90568958002</v>
      </c>
      <c r="G168" s="226">
        <f>(-SIN('Coords-Trans'!$T$4)*((COS(-banglerad)*K168+SIN(-banglerad)*I168)*1000+'Coords-Trans'!$J$8-'Coords-Trans'!$J$10)+COS('Coords-Trans'!$T$4)*((-SIN(-banglerad)*K168+COS(-banglerad)*I168)*1000+'Coords-Trans'!$K$8-'Coords-Trans'!$K$10))</f>
        <v>1616.4744871584408</v>
      </c>
      <c r="H168" s="294">
        <f t="shared" si="59"/>
        <v>-422.47946124509252</v>
      </c>
      <c r="I168" s="375">
        <f t="shared" si="54"/>
        <v>0.3164250943837803</v>
      </c>
      <c r="J168" s="144">
        <f t="shared" si="55"/>
        <v>-0.4224794612450925</v>
      </c>
      <c r="K168" s="317">
        <f t="shared" si="56"/>
        <v>152.7505696298478</v>
      </c>
      <c r="L168" s="375">
        <f t="shared" si="61"/>
        <v>0.32497160254087848</v>
      </c>
      <c r="M168" s="144">
        <f t="shared" si="62"/>
        <v>-0.4224794612450925</v>
      </c>
      <c r="N168" s="317">
        <f t="shared" si="63"/>
        <v>154.75055136906403</v>
      </c>
      <c r="O168" s="145">
        <v>2</v>
      </c>
      <c r="P168" s="487">
        <f t="shared" si="58"/>
        <v>154.75521685605341</v>
      </c>
      <c r="Q168" s="142" t="s">
        <v>33</v>
      </c>
      <c r="R168" s="146" t="s">
        <v>33</v>
      </c>
      <c r="S168" s="172">
        <f>1000*SQRT((1-(K168-$K$126-$AF$135)^2/$AD$135/$AD$135)*$AE$135*$AE$135)+$AG$135</f>
        <v>57.416635154203426</v>
      </c>
      <c r="T168" s="172">
        <f>1000*SQRT((1-(N168-$K$126-$AF$135)^2/$AD$135/$AD$135)*$AE$135*$AE$135)+$AG$135</f>
        <v>48.378843074299674</v>
      </c>
      <c r="U168" s="172">
        <f>1000*SQRT((1-(K168-$K$140-$AF$137)^2/$AD$137/$AD$137)*$AE$137*$AE$137)+$AG$137</f>
        <v>57.735312324770234</v>
      </c>
      <c r="V168" s="172">
        <f>1000*SQRT((1-(N168-$K$140-$AF$137)^2/$AD$137/$AD$137)*$AE$137*$AE$137)+$AG$137</f>
        <v>54.945380595403066</v>
      </c>
      <c r="W168" s="142">
        <v>3.5</v>
      </c>
      <c r="X168" s="143">
        <v>3.5</v>
      </c>
      <c r="Y168" s="143">
        <v>3.5</v>
      </c>
      <c r="Z168" s="146">
        <v>3.5</v>
      </c>
      <c r="AA168" s="441" t="s">
        <v>31</v>
      </c>
      <c r="AB168" s="146"/>
    </row>
    <row r="169" spans="1:28" ht="16" thickBot="1" x14ac:dyDescent="0.25">
      <c r="A169" s="20" t="s">
        <v>43</v>
      </c>
      <c r="B169" s="20"/>
      <c r="C169" s="20"/>
      <c r="D169" s="374">
        <v>0</v>
      </c>
      <c r="E169" s="36">
        <f t="shared" si="64"/>
        <v>-0.24484016865061223</v>
      </c>
      <c r="F169" s="259">
        <f>(COS('Coords-Trans'!$T$4)*((COS(-banglerad)*K169+SIN(-banglerad)*I169)*1000+'Coords-Trans'!$J$8-'Coords-Trans'!$J$10)+SIN('Coords-Trans'!$T$4)*((-SIN(-banglerad)*K169+COS(-banglerad)*I169)*1000+'Coords-Trans'!$K$8-'Coords-Trans'!$K$10))</f>
        <v>154717.73669421306</v>
      </c>
      <c r="G169" s="227">
        <f>(-SIN('Coords-Trans'!$T$4)*((COS(-banglerad)*K169+SIN(-banglerad)*I169)*1000+'Coords-Trans'!$J$8-'Coords-Trans'!$J$10)+COS('Coords-Trans'!$T$4)*((-SIN(-banglerad)*K169+COS(-banglerad)*I169)*1000+'Coords-Trans'!$K$8-'Coords-Trans'!$K$10))</f>
        <v>1642.4735815340391</v>
      </c>
      <c r="H169" s="293">
        <f t="shared" si="59"/>
        <v>-422.47946124509252</v>
      </c>
      <c r="I169" s="374">
        <f t="shared" si="54"/>
        <v>0.32497160254087848</v>
      </c>
      <c r="J169" s="36">
        <f t="shared" si="55"/>
        <v>-0.4224794612450925</v>
      </c>
      <c r="K169" s="316">
        <f t="shared" si="56"/>
        <v>154.75055136906403</v>
      </c>
      <c r="L169" s="374">
        <f t="shared" si="61"/>
        <v>0.3249801490490356</v>
      </c>
      <c r="M169" s="36">
        <f t="shared" si="62"/>
        <v>-0.4224794612450925</v>
      </c>
      <c r="N169" s="316">
        <f t="shared" si="63"/>
        <v>154.75255135080323</v>
      </c>
      <c r="O169" s="140">
        <v>2E-3</v>
      </c>
      <c r="P169" s="486">
        <f t="shared" si="58"/>
        <v>154.75721685605342</v>
      </c>
      <c r="Q169" s="137"/>
      <c r="R169" s="141"/>
      <c r="S169" s="173"/>
      <c r="T169" s="173"/>
      <c r="U169" s="173"/>
      <c r="V169" s="173"/>
      <c r="W169" s="137"/>
      <c r="X169" s="138"/>
      <c r="Y169" s="138"/>
      <c r="Z169" s="141"/>
      <c r="AA169" s="440"/>
      <c r="AB169" s="20"/>
    </row>
    <row r="170" spans="1:28" x14ac:dyDescent="0.2">
      <c r="A170" s="132">
        <v>7</v>
      </c>
      <c r="B170" s="133" t="s">
        <v>106</v>
      </c>
      <c r="C170" s="133" t="s">
        <v>251</v>
      </c>
      <c r="D170" s="373">
        <v>0</v>
      </c>
      <c r="E170" s="134">
        <f t="shared" si="64"/>
        <v>-0.24484016865061223</v>
      </c>
      <c r="F170" s="258">
        <f>(COS('Coords-Trans'!$T$4)*((COS(-banglerad)*K170+SIN(-banglerad)*I170)*1000+'Coords-Trans'!$J$8-'Coords-Trans'!$J$10)+SIN('Coords-Trans'!$T$4)*((-SIN(-banglerad)*K170+COS(-banglerad)*I170)*1000+'Coords-Trans'!$K$8-'Coords-Trans'!$K$10))</f>
        <v>154719.73652521765</v>
      </c>
      <c r="G170" s="224">
        <f>(-SIN('Coords-Trans'!$T$4)*((COS(-banglerad)*K170+SIN(-banglerad)*I170)*1000+'Coords-Trans'!$J$8-'Coords-Trans'!$J$10)+COS('Coords-Trans'!$T$4)*((-SIN(-banglerad)*K170+COS(-banglerad)*I170)*1000+'Coords-Trans'!$K$8-'Coords-Trans'!$K$10))</f>
        <v>1642.4995806284278</v>
      </c>
      <c r="H170" s="292">
        <f t="shared" si="59"/>
        <v>-422.47946124509252</v>
      </c>
      <c r="I170" s="373">
        <f t="shared" si="54"/>
        <v>0.3249801490490356</v>
      </c>
      <c r="J170" s="134">
        <f t="shared" si="55"/>
        <v>-0.4224794612450925</v>
      </c>
      <c r="K170" s="315">
        <f t="shared" si="56"/>
        <v>154.75255135080323</v>
      </c>
      <c r="L170" s="373">
        <f t="shared" si="61"/>
        <v>0.33139003016685925</v>
      </c>
      <c r="M170" s="134">
        <f t="shared" si="62"/>
        <v>-0.4224794612450925</v>
      </c>
      <c r="N170" s="315">
        <f t="shared" si="63"/>
        <v>156.25253765521541</v>
      </c>
      <c r="O170" s="135">
        <v>1.5</v>
      </c>
      <c r="P170" s="485">
        <f t="shared" si="58"/>
        <v>156.25721685605342</v>
      </c>
      <c r="Q170" s="132" t="s">
        <v>33</v>
      </c>
      <c r="R170" s="136" t="s">
        <v>33</v>
      </c>
      <c r="S170" s="170">
        <f>1000*SQRT((1-(K170-$K$126-$AF$135)^2/$AD$135/$AD$135)*$AE$135*$AE$135)+$AG$135</f>
        <v>48.368730159574781</v>
      </c>
      <c r="T170" s="170">
        <f>1000*SQRT((1-(N170-$K$126-$AF$135)^2/$AD$135/$AD$135)*$AE$135*$AE$135)+$AG$135</f>
        <v>39.915141985256867</v>
      </c>
      <c r="U170" s="170">
        <f>1000*SQRT((1-(K170-$K$140-$AF$137)^2/$AD$137/$AD$137)*$AE$137*$AE$137)+$AG$137</f>
        <v>54.942421078347508</v>
      </c>
      <c r="V170" s="170">
        <f>1000*SQRT((1-(N170-$K$140-$AF$137)^2/$AD$137/$AD$137)*$AE$137*$AE$137)+$AG$137</f>
        <v>52.618030014326294</v>
      </c>
      <c r="W170" s="132">
        <v>3.5</v>
      </c>
      <c r="X170" s="133">
        <v>3.5</v>
      </c>
      <c r="Y170" s="133">
        <v>3.5</v>
      </c>
      <c r="Z170" s="136">
        <v>3.5</v>
      </c>
      <c r="AA170" s="439" t="s">
        <v>31</v>
      </c>
      <c r="AB170" s="136"/>
    </row>
    <row r="171" spans="1:28" x14ac:dyDescent="0.2">
      <c r="A171" s="137" t="s">
        <v>43</v>
      </c>
      <c r="B171" s="138" t="s">
        <v>106</v>
      </c>
      <c r="C171" s="138"/>
      <c r="D171" s="374">
        <v>0</v>
      </c>
      <c r="E171" s="139">
        <f t="shared" si="64"/>
        <v>-0.24484016865061223</v>
      </c>
      <c r="F171" s="259">
        <f>(COS('Coords-Trans'!$T$4)*((COS(-banglerad)*K171+SIN(-banglerad)*I171)*1000+'Coords-Trans'!$J$8-'Coords-Trans'!$J$10)+SIN('Coords-Trans'!$T$4)*((-SIN(-banglerad)*K171+COS(-banglerad)*I171)*1000+'Coords-Trans'!$K$8-'Coords-Trans'!$K$10))</f>
        <v>156219.60977869251</v>
      </c>
      <c r="G171" s="225">
        <f>(-SIN('Coords-Trans'!$T$4)*((COS(-banglerad)*K171+SIN(-banglerad)*I171)*1000+'Coords-Trans'!$J$8-'Coords-Trans'!$J$10)+COS('Coords-Trans'!$T$4)*((-SIN(-banglerad)*K171+COS(-banglerad)*I171)*1000+'Coords-Trans'!$K$8-'Coords-Trans'!$K$10))</f>
        <v>1661.9989014101302</v>
      </c>
      <c r="H171" s="293">
        <f t="shared" si="59"/>
        <v>-422.47946124509252</v>
      </c>
      <c r="I171" s="374">
        <f t="shared" si="54"/>
        <v>0.33139003016685925</v>
      </c>
      <c r="J171" s="139">
        <f t="shared" si="55"/>
        <v>-0.4224794612450925</v>
      </c>
      <c r="K171" s="316">
        <f t="shared" si="56"/>
        <v>156.25253765521541</v>
      </c>
      <c r="L171" s="374">
        <f t="shared" si="61"/>
        <v>0.33139430342093779</v>
      </c>
      <c r="M171" s="139">
        <f t="shared" si="62"/>
        <v>-0.4224794612450925</v>
      </c>
      <c r="N171" s="316">
        <f t="shared" si="63"/>
        <v>156.25353764608502</v>
      </c>
      <c r="O171" s="140">
        <v>1E-3</v>
      </c>
      <c r="P171" s="486">
        <f t="shared" si="58"/>
        <v>156.25821685605342</v>
      </c>
      <c r="Q171" s="137"/>
      <c r="R171" s="141"/>
      <c r="S171" s="171"/>
      <c r="T171" s="171"/>
      <c r="U171" s="171"/>
      <c r="V171" s="171"/>
      <c r="W171" s="137"/>
      <c r="X171" s="138"/>
      <c r="Y171" s="138"/>
      <c r="Z171" s="141"/>
      <c r="AA171" s="440"/>
      <c r="AB171" s="141"/>
    </row>
    <row r="172" spans="1:28" ht="16" thickBot="1" x14ac:dyDescent="0.25">
      <c r="A172" s="142">
        <v>7</v>
      </c>
      <c r="B172" s="143" t="s">
        <v>107</v>
      </c>
      <c r="C172" s="143" t="s">
        <v>252</v>
      </c>
      <c r="D172" s="375">
        <v>0</v>
      </c>
      <c r="E172" s="144">
        <f t="shared" si="64"/>
        <v>-0.24484016865061223</v>
      </c>
      <c r="F172" s="260">
        <f>(COS('Coords-Trans'!$T$4)*((COS(-banglerad)*K172+SIN(-banglerad)*I172)*1000+'Coords-Trans'!$J$8-'Coords-Trans'!$J$10)+SIN('Coords-Trans'!$T$4)*((-SIN(-banglerad)*K172+COS(-banglerad)*I172)*1000+'Coords-Trans'!$K$8-'Coords-Trans'!$K$10))</f>
        <v>156220.60969419483</v>
      </c>
      <c r="G172" s="226">
        <f>(-SIN('Coords-Trans'!$T$4)*((COS(-banglerad)*K172+SIN(-banglerad)*I172)*1000+'Coords-Trans'!$J$8-'Coords-Trans'!$J$10)+COS('Coords-Trans'!$T$4)*((-SIN(-banglerad)*K172+COS(-banglerad)*I172)*1000+'Coords-Trans'!$K$8-'Coords-Trans'!$K$10))</f>
        <v>1662.0119009573245</v>
      </c>
      <c r="H172" s="294">
        <f t="shared" si="59"/>
        <v>-422.47946124509252</v>
      </c>
      <c r="I172" s="375">
        <f t="shared" si="54"/>
        <v>0.33139430342093779</v>
      </c>
      <c r="J172" s="144">
        <f t="shared" si="55"/>
        <v>-0.4224794612450925</v>
      </c>
      <c r="K172" s="317">
        <f t="shared" si="56"/>
        <v>156.25353764608502</v>
      </c>
      <c r="L172" s="375">
        <f t="shared" si="61"/>
        <v>0.33780418453876143</v>
      </c>
      <c r="M172" s="144">
        <f t="shared" si="62"/>
        <v>-0.4224794612450925</v>
      </c>
      <c r="N172" s="317">
        <f t="shared" si="63"/>
        <v>157.7535239504972</v>
      </c>
      <c r="O172" s="145">
        <v>1.5</v>
      </c>
      <c r="P172" s="487">
        <f t="shared" si="58"/>
        <v>157.75821685605342</v>
      </c>
      <c r="Q172" s="142" t="s">
        <v>33</v>
      </c>
      <c r="R172" s="146" t="s">
        <v>33</v>
      </c>
      <c r="S172" s="172">
        <f>1000*SQRT((1-(K172-$K$126-$AF$135)^2/$AD$135/$AD$135)*$AE$135*$AE$135)+$AG$135</f>
        <v>39.908804516136279</v>
      </c>
      <c r="T172" s="172">
        <f>1000*SQRT((1-(N172-$K$126-$AF$135)^2/$AD$135/$AD$135)*$AE$135*$AE$135)+$AG$135</f>
        <v>28.659776470838608</v>
      </c>
      <c r="U172" s="172">
        <f>1000*SQRT((1-(K172-$K$140-$AF$137)^2/$AD$137/$AD$137)*$AE$137*$AE$137)+$AG$137</f>
        <v>52.616407542132933</v>
      </c>
      <c r="V172" s="172">
        <f>1000*SQRT((1-(N172-$K$140-$AF$137)^2/$AD$137/$AD$137)*$AE$137*$AE$137)+$AG$137</f>
        <v>50.062751101464443</v>
      </c>
      <c r="W172" s="142">
        <v>3.5</v>
      </c>
      <c r="X172" s="143">
        <v>3.5</v>
      </c>
      <c r="Y172" s="143">
        <v>3.5</v>
      </c>
      <c r="Z172" s="146">
        <v>3.5</v>
      </c>
      <c r="AA172" s="441" t="s">
        <v>31</v>
      </c>
      <c r="AB172" s="146"/>
    </row>
    <row r="173" spans="1:28" ht="16" thickBot="1" x14ac:dyDescent="0.25">
      <c r="A173" s="137" t="s">
        <v>43</v>
      </c>
      <c r="B173" s="138"/>
      <c r="C173" s="138"/>
      <c r="D173" s="374">
        <v>0</v>
      </c>
      <c r="E173" s="139">
        <f t="shared" si="64"/>
        <v>-0.24484016865061223</v>
      </c>
      <c r="F173" s="259">
        <f>(COS('Coords-Trans'!$T$4)*((COS(-banglerad)*K173+SIN(-banglerad)*I173)*1000+'Coords-Trans'!$J$8-'Coords-Trans'!$J$10)+SIN('Coords-Trans'!$T$4)*((-SIN(-banglerad)*K173+COS(-banglerad)*I173)*1000+'Coords-Trans'!$K$8-'Coords-Trans'!$K$10))</f>
        <v>157720.48294766963</v>
      </c>
      <c r="G173" s="225">
        <f>(-SIN('Coords-Trans'!$T$4)*((COS(-banglerad)*K173+SIN(-banglerad)*I173)*1000+'Coords-Trans'!$J$8-'Coords-Trans'!$J$10)+COS('Coords-Trans'!$T$4)*((-SIN(-banglerad)*K173+COS(-banglerad)*I173)*1000+'Coords-Trans'!$K$8-'Coords-Trans'!$K$10))</f>
        <v>1681.511221739027</v>
      </c>
      <c r="H173" s="293">
        <f t="shared" si="59"/>
        <v>-422.47946124509252</v>
      </c>
      <c r="I173" s="374">
        <f t="shared" si="54"/>
        <v>0.33780418453876143</v>
      </c>
      <c r="J173" s="139">
        <f t="shared" si="55"/>
        <v>-0.4224794612450925</v>
      </c>
      <c r="K173" s="316">
        <f t="shared" si="56"/>
        <v>157.7535239504972</v>
      </c>
      <c r="L173" s="374">
        <f t="shared" si="61"/>
        <v>0.33780845779283997</v>
      </c>
      <c r="M173" s="139">
        <f t="shared" si="62"/>
        <v>-0.4224794612450925</v>
      </c>
      <c r="N173" s="316">
        <f t="shared" si="63"/>
        <v>157.75452394136681</v>
      </c>
      <c r="O173" s="140">
        <v>1E-3</v>
      </c>
      <c r="P173" s="486">
        <f t="shared" si="58"/>
        <v>157.75921685605343</v>
      </c>
      <c r="Q173" s="137"/>
      <c r="R173" s="141"/>
      <c r="S173" s="171"/>
      <c r="T173" s="171"/>
      <c r="U173" s="171"/>
      <c r="V173" s="171"/>
      <c r="W173" s="137"/>
      <c r="X173" s="138"/>
      <c r="Y173" s="138"/>
      <c r="Z173" s="141"/>
      <c r="AA173" s="440"/>
      <c r="AB173" s="141"/>
    </row>
    <row r="174" spans="1:28" x14ac:dyDescent="0.2">
      <c r="A174" s="132">
        <v>7</v>
      </c>
      <c r="B174" s="133" t="s">
        <v>139</v>
      </c>
      <c r="C174" s="133" t="s">
        <v>253</v>
      </c>
      <c r="D174" s="373">
        <v>0</v>
      </c>
      <c r="E174" s="134">
        <f t="shared" si="64"/>
        <v>-0.24484016865061223</v>
      </c>
      <c r="F174" s="258">
        <f>(COS('Coords-Trans'!$T$4)*((COS(-banglerad)*K174+SIN(-banglerad)*I174)*1000+'Coords-Trans'!$J$8-'Coords-Trans'!$J$10)+SIN('Coords-Trans'!$T$4)*((-SIN(-banglerad)*K174+COS(-banglerad)*I174)*1000+'Coords-Trans'!$K$8-'Coords-Trans'!$K$10))</f>
        <v>157721.48286317196</v>
      </c>
      <c r="G174" s="224">
        <f>(-SIN('Coords-Trans'!$T$4)*((COS(-banglerad)*K174+SIN(-banglerad)*I174)*1000+'Coords-Trans'!$J$8-'Coords-Trans'!$J$10)+COS('Coords-Trans'!$T$4)*((-SIN(-banglerad)*K174+COS(-banglerad)*I174)*1000+'Coords-Trans'!$K$8-'Coords-Trans'!$K$10))</f>
        <v>1681.5242212862504</v>
      </c>
      <c r="H174" s="292">
        <f t="shared" si="59"/>
        <v>-422.47946124509252</v>
      </c>
      <c r="I174" s="373">
        <f t="shared" si="54"/>
        <v>0.33780845779283997</v>
      </c>
      <c r="J174" s="134">
        <f t="shared" si="55"/>
        <v>-0.4224794612450925</v>
      </c>
      <c r="K174" s="315">
        <f t="shared" si="56"/>
        <v>157.75452394136681</v>
      </c>
      <c r="L174" s="373">
        <f t="shared" si="61"/>
        <v>0.34058179968981833</v>
      </c>
      <c r="M174" s="134">
        <f t="shared" si="62"/>
        <v>-0.4224794612450925</v>
      </c>
      <c r="N174" s="315">
        <f t="shared" si="63"/>
        <v>158.40351801574246</v>
      </c>
      <c r="O174" s="135">
        <v>0.64900000000000002</v>
      </c>
      <c r="P174" s="485">
        <f t="shared" si="58"/>
        <v>158.40821685605343</v>
      </c>
      <c r="Q174" s="132" t="s">
        <v>33</v>
      </c>
      <c r="R174" s="136" t="s">
        <v>33</v>
      </c>
      <c r="S174" s="170">
        <f>1000*SQRT((1-(K174-$K$126-$AF$135)^2/$AD$135/$AD$135)*$AE$135*$AE$135)+$AG$135</f>
        <v>28.650658444447622</v>
      </c>
      <c r="T174" s="170">
        <f>1000*SQRT((1-(N174-$K$126-$AF$135)^2/$AD$135/$AD$135)*$AE$135*$AE$135)+$AG$135</f>
        <v>21.894671761118992</v>
      </c>
      <c r="U174" s="170">
        <f>1000*SQRT((1-(K174-$K$140-$AF$137)^2/$AD$137/$AD$137)*$AE$137*$AE$137)+$AG$137</f>
        <v>50.060964613853649</v>
      </c>
      <c r="V174" s="170">
        <f>1000*SQRT((1-(N174-$K$140-$AF$137)^2/$AD$137/$AD$137)*$AE$137*$AE$137)+$AG$137</f>
        <v>48.876080699365318</v>
      </c>
      <c r="W174" s="132">
        <v>3.5</v>
      </c>
      <c r="X174" s="133">
        <v>3.5</v>
      </c>
      <c r="Y174" s="133">
        <v>3.5</v>
      </c>
      <c r="Z174" s="136">
        <v>3.5</v>
      </c>
      <c r="AA174" s="439" t="s">
        <v>31</v>
      </c>
      <c r="AB174" s="136"/>
    </row>
    <row r="175" spans="1:28" x14ac:dyDescent="0.2">
      <c r="A175" s="115" t="s">
        <v>138</v>
      </c>
      <c r="B175" s="65" t="s">
        <v>139</v>
      </c>
      <c r="C175" s="65"/>
      <c r="D175" s="369">
        <v>0</v>
      </c>
      <c r="E175" s="66">
        <f t="shared" si="64"/>
        <v>-0.24484016865061223</v>
      </c>
      <c r="F175" s="234">
        <f>(COS('Coords-Trans'!$T$4)*((COS(-banglerad)*K175+SIN(-banglerad)*I175)*1000+'Coords-Trans'!$J$8-'Coords-Trans'!$J$10)+SIN('Coords-Trans'!$T$4)*((-SIN(-banglerad)*K175+COS(-banglerad)*I175)*1000+'Coords-Trans'!$K$8-'Coords-Trans'!$K$10))</f>
        <v>158411.90842892605</v>
      </c>
      <c r="G175" s="219">
        <f>(-SIN('Coords-Trans'!$T$4)*((COS(-banglerad)*K175+SIN(-banglerad)*I175)*1000+'Coords-Trans'!$J$8-'Coords-Trans'!$J$10)+COS('Coords-Trans'!$T$4)*((-SIN(-banglerad)*K175+COS(-banglerad)*I175)*1000+'Coords-Trans'!$K$8-'Coords-Trans'!$K$10))</f>
        <v>1690.3229214192979</v>
      </c>
      <c r="H175" s="268">
        <f t="shared" si="59"/>
        <v>-422.47946124509252</v>
      </c>
      <c r="I175" s="369">
        <f t="shared" si="54"/>
        <v>0.34058179968981833</v>
      </c>
      <c r="J175" s="66">
        <f t="shared" si="55"/>
        <v>-0.4224794612450925</v>
      </c>
      <c r="K175" s="298">
        <f>m1z-O175/2</f>
        <v>158.44499999999999</v>
      </c>
      <c r="L175" s="369">
        <f t="shared" si="61"/>
        <v>0.34100912509767323</v>
      </c>
      <c r="M175" s="66">
        <f t="shared" si="62"/>
        <v>-0.4224794612450925</v>
      </c>
      <c r="N175" s="298">
        <f t="shared" si="63"/>
        <v>158.54499908696081</v>
      </c>
      <c r="O175" s="67">
        <v>0.1</v>
      </c>
      <c r="P175" s="481">
        <f t="shared" si="58"/>
        <v>158.50821685605342</v>
      </c>
      <c r="Q175" s="64"/>
      <c r="R175" s="68"/>
      <c r="S175" s="156"/>
      <c r="T175" s="156"/>
      <c r="U175" s="156"/>
      <c r="V175" s="156"/>
      <c r="W175" s="64"/>
      <c r="X175" s="65"/>
      <c r="Y175" s="65"/>
      <c r="Z175" s="68"/>
      <c r="AA175" s="421"/>
      <c r="AB175" s="68" t="s">
        <v>203</v>
      </c>
    </row>
    <row r="176" spans="1:28" ht="16" thickBot="1" x14ac:dyDescent="0.25">
      <c r="A176" s="185">
        <v>8</v>
      </c>
      <c r="B176" s="17" t="s">
        <v>139</v>
      </c>
      <c r="C176" s="17"/>
      <c r="D176" s="261"/>
      <c r="E176" s="186"/>
      <c r="F176" s="261"/>
      <c r="G176" s="228"/>
      <c r="H176" s="295"/>
      <c r="I176" s="261"/>
      <c r="J176" s="186"/>
      <c r="K176" s="318"/>
      <c r="L176" s="186"/>
      <c r="M176" s="186"/>
      <c r="N176" s="186"/>
      <c r="O176" s="187"/>
      <c r="P176" s="414"/>
      <c r="Q176" s="185" t="s">
        <v>33</v>
      </c>
      <c r="R176" s="18" t="s">
        <v>33</v>
      </c>
      <c r="S176" s="188"/>
      <c r="T176" s="188"/>
      <c r="U176" s="188"/>
      <c r="V176" s="188"/>
      <c r="W176" s="185"/>
      <c r="X176" s="17"/>
      <c r="Y176" s="17"/>
      <c r="Z176" s="18"/>
      <c r="AA176" s="442"/>
      <c r="AB176" s="18"/>
    </row>
    <row r="177" spans="1:9" x14ac:dyDescent="0.2">
      <c r="A177" s="10">
        <v>8</v>
      </c>
      <c r="D177" s="262"/>
      <c r="F177" s="262"/>
      <c r="G177" s="229"/>
      <c r="H177" s="296"/>
      <c r="I177" s="229"/>
    </row>
    <row r="178" spans="1:9" x14ac:dyDescent="0.2">
      <c r="F178" s="262"/>
      <c r="G178" s="229"/>
      <c r="H178" s="296"/>
      <c r="I178" s="229"/>
    </row>
    <row r="179" spans="1:9" x14ac:dyDescent="0.2">
      <c r="F179" s="262"/>
      <c r="G179" s="229"/>
      <c r="H179" s="296"/>
      <c r="I179" s="229"/>
    </row>
    <row r="180" spans="1:9" x14ac:dyDescent="0.2">
      <c r="F180" s="262"/>
      <c r="G180" s="229"/>
      <c r="H180" s="296"/>
      <c r="I180" s="229"/>
    </row>
  </sheetData>
  <mergeCells count="3">
    <mergeCell ref="W1:Z1"/>
    <mergeCell ref="Q1:R1"/>
    <mergeCell ref="S1:V1"/>
  </mergeCells>
  <pageMargins left="0.7" right="0.7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8"/>
  <sheetViews>
    <sheetView workbookViewId="0">
      <selection activeCell="I16" sqref="I16"/>
    </sheetView>
  </sheetViews>
  <sheetFormatPr baseColWidth="10" defaultColWidth="9.1640625" defaultRowHeight="15" x14ac:dyDescent="0.2"/>
  <sheetData>
    <row r="1" spans="1:19" x14ac:dyDescent="0.2">
      <c r="A1" t="s">
        <v>12</v>
      </c>
      <c r="B1" t="s">
        <v>49</v>
      </c>
      <c r="C1" t="s">
        <v>50</v>
      </c>
      <c r="D1" t="s">
        <v>51</v>
      </c>
      <c r="E1" t="s">
        <v>52</v>
      </c>
    </row>
    <row r="2" spans="1:19" x14ac:dyDescent="0.2">
      <c r="A2">
        <f>Specification!K4</f>
        <v>2.4042209615320855</v>
      </c>
      <c r="B2">
        <f>IF(-Specification!S4/2=0," ",-Specification!S4/2)</f>
        <v>-26.675000000000001</v>
      </c>
      <c r="C2">
        <f>IF(Specification!S4/2=0," ",Specification!S4/2)</f>
        <v>26.675000000000001</v>
      </c>
      <c r="D2">
        <f>IF(-Specification!U4/2=0," ",-Specification!U4/2)</f>
        <v>-23.5</v>
      </c>
      <c r="E2">
        <f>IF(Specification!U4/2=0," ",Specification!U4/2)</f>
        <v>23.5</v>
      </c>
      <c r="N2" t="s">
        <v>20</v>
      </c>
    </row>
    <row r="3" spans="1:19" x14ac:dyDescent="0.2">
      <c r="A3">
        <f>Specification!K5</f>
        <v>2.9042021886885934</v>
      </c>
      <c r="B3">
        <f>IF(-Specification!S5/2=0," ",-Specification!S5/2)</f>
        <v>-30.85</v>
      </c>
      <c r="C3">
        <f>IF(Specification!S5/2=0," ",Specification!S5/2)</f>
        <v>30.85</v>
      </c>
      <c r="D3">
        <f>IF(-Specification!U5/2=0," ",-Specification!U5/2)</f>
        <v>-25.5</v>
      </c>
      <c r="E3">
        <f>IF(Specification!U5/2=0," ",Specification!U5/2)</f>
        <v>25.5</v>
      </c>
      <c r="H3" t="s">
        <v>54</v>
      </c>
      <c r="I3">
        <f>Specification!K20</f>
        <v>15.431550000000001</v>
      </c>
      <c r="J3">
        <v>0</v>
      </c>
      <c r="N3">
        <v>1</v>
      </c>
      <c r="O3">
        <v>1.9</v>
      </c>
      <c r="P3">
        <v>-60</v>
      </c>
      <c r="Q3">
        <v>5</v>
      </c>
      <c r="R3">
        <v>93.472999999999999</v>
      </c>
      <c r="S3">
        <v>-60</v>
      </c>
    </row>
    <row r="4" spans="1:19" x14ac:dyDescent="0.2">
      <c r="A4">
        <f>Specification!K6</f>
        <v>3.4041839046150124</v>
      </c>
      <c r="B4">
        <f>IF(-Specification!S6/2=0," ",-Specification!S6/2)</f>
        <v>-35</v>
      </c>
      <c r="C4">
        <f>IF(Specification!S6/2=0," ",Specification!S6/2)</f>
        <v>35</v>
      </c>
      <c r="D4">
        <f>IF(-Specification!U6/2=0," ",-Specification!U6/2)</f>
        <v>-27.5</v>
      </c>
      <c r="E4">
        <f>IF(Specification!U6/2=0," ",Specification!U6/2)</f>
        <v>27.5</v>
      </c>
      <c r="H4" t="s">
        <v>53</v>
      </c>
      <c r="I4">
        <f>Specification!N20</f>
        <v>15.458048723885605</v>
      </c>
      <c r="J4">
        <v>0</v>
      </c>
      <c r="N4">
        <v>1</v>
      </c>
      <c r="O4">
        <v>1.9</v>
      </c>
      <c r="P4">
        <v>60</v>
      </c>
      <c r="Q4">
        <v>5</v>
      </c>
      <c r="R4">
        <v>93.472999999999999</v>
      </c>
      <c r="S4">
        <v>60</v>
      </c>
    </row>
    <row r="5" spans="1:19" x14ac:dyDescent="0.2">
      <c r="A5">
        <f>Specification!K9</f>
        <v>4.9041314186259068</v>
      </c>
      <c r="B5">
        <f>IF(-Specification!S9/2=0," ",-Specification!S9/2)</f>
        <v>-35</v>
      </c>
      <c r="C5">
        <f>IF(Specification!S9/2=0," ",Specification!S9/2)</f>
        <v>35</v>
      </c>
      <c r="D5">
        <f>IF(-Specification!U9/2=0," ",-Specification!U9/2)</f>
        <v>-27.5</v>
      </c>
      <c r="E5">
        <f>IF(Specification!U9/2=0," ",Specification!U9/2)</f>
        <v>27.5</v>
      </c>
      <c r="H5" t="s">
        <v>56</v>
      </c>
      <c r="I5">
        <f>Specification!K28</f>
        <v>20.46725</v>
      </c>
      <c r="J5">
        <v>0</v>
      </c>
      <c r="N5">
        <v>2</v>
      </c>
      <c r="O5">
        <v>3.4009999999999998</v>
      </c>
      <c r="P5">
        <v>-60</v>
      </c>
      <c r="Q5">
        <v>6</v>
      </c>
      <c r="R5">
        <v>105.682</v>
      </c>
      <c r="S5">
        <v>-60</v>
      </c>
    </row>
    <row r="6" spans="1:19" x14ac:dyDescent="0.2">
      <c r="A6" t="e">
        <v>#N/A</v>
      </c>
      <c r="B6">
        <f>IF(-Specification!S10/2=0," ",-Specification!S10/2)</f>
        <v>-35</v>
      </c>
      <c r="C6">
        <f>IF(Specification!S10/2=0," ",Specification!S10/2)</f>
        <v>35</v>
      </c>
      <c r="D6">
        <f>IF(-Specification!U10/2=0," ",-Specification!U10/2)</f>
        <v>-27.5</v>
      </c>
      <c r="E6">
        <f>IF(Specification!U10/2=0," ",Specification!U10/2)</f>
        <v>27.5</v>
      </c>
      <c r="H6" t="s">
        <v>55</v>
      </c>
      <c r="I6">
        <f>Specification!N28</f>
        <v>20.49374807424331</v>
      </c>
      <c r="J6">
        <v>0</v>
      </c>
      <c r="N6">
        <v>2</v>
      </c>
      <c r="O6">
        <v>3.4009999999999998</v>
      </c>
      <c r="P6">
        <v>60</v>
      </c>
      <c r="Q6">
        <v>6</v>
      </c>
      <c r="R6">
        <v>105.682</v>
      </c>
      <c r="S6">
        <v>60</v>
      </c>
    </row>
    <row r="7" spans="1:19" x14ac:dyDescent="0.2">
      <c r="A7">
        <f>IF(-Specification!S11/2=0,#N/A,Specification!K11)</f>
        <v>5.9020978998622944</v>
      </c>
      <c r="B7">
        <f>IF(-Specification!S11/2=0,#N/A,-Specification!S11/2)</f>
        <v>-35</v>
      </c>
      <c r="C7">
        <f>IF(Specification!S11/2=0,#N/A,Specification!S11/2)</f>
        <v>35</v>
      </c>
      <c r="D7">
        <f>IF(-Specification!U11/2=0,#N/A,-Specification!U11/2)</f>
        <v>-27.5</v>
      </c>
      <c r="E7">
        <f>IF(Specification!U11/2=0,#N/A,Specification!U11/2)</f>
        <v>27.5</v>
      </c>
      <c r="H7" t="s">
        <v>57</v>
      </c>
      <c r="I7">
        <f>Specification!K119</f>
        <v>105.61500000000001</v>
      </c>
      <c r="J7">
        <v>0</v>
      </c>
      <c r="N7">
        <v>3</v>
      </c>
      <c r="O7">
        <v>54.511000000000003</v>
      </c>
      <c r="P7">
        <v>-60</v>
      </c>
      <c r="Q7">
        <v>7</v>
      </c>
      <c r="R7">
        <v>110.68300000000001</v>
      </c>
      <c r="S7">
        <v>-60</v>
      </c>
    </row>
    <row r="8" spans="1:19" x14ac:dyDescent="0.2">
      <c r="A8" t="e">
        <f>IF(-Specification!S12/2=0,#N/A,Specification!K12)</f>
        <v>#N/A</v>
      </c>
      <c r="B8" t="e">
        <f>IF(-Specification!S12/2=0,#N/A,-Specification!S12/2)</f>
        <v>#N/A</v>
      </c>
      <c r="C8" t="e">
        <f>IF(Specification!S12/2=0,#N/A,Specification!S12/2)</f>
        <v>#N/A</v>
      </c>
      <c r="D8" t="e">
        <f>IF(-Specification!U12/2=0,#N/A,-Specification!U12/2)</f>
        <v>#N/A</v>
      </c>
      <c r="E8" t="e">
        <f>IF(Specification!U12/2=0,#N/A,Specification!U12/2)</f>
        <v>#N/A</v>
      </c>
      <c r="H8" t="s">
        <v>58</v>
      </c>
      <c r="I8">
        <f>Specification!N119</f>
        <v>105.71499908696082</v>
      </c>
      <c r="J8">
        <v>0</v>
      </c>
      <c r="N8">
        <v>3</v>
      </c>
      <c r="O8">
        <v>54.511000000000003</v>
      </c>
      <c r="P8">
        <v>60</v>
      </c>
      <c r="Q8">
        <v>7</v>
      </c>
      <c r="R8">
        <v>110.68300000000001</v>
      </c>
      <c r="S8">
        <v>60</v>
      </c>
    </row>
    <row r="9" spans="1:19" x14ac:dyDescent="0.2">
      <c r="A9">
        <f>IF(-Specification!S13/2=0,#N/A,Specification!K13)</f>
        <v>8.083889280006618</v>
      </c>
      <c r="B9">
        <f>IF(-Specification!S13/2=0,#N/A,-Specification!S13/2)</f>
        <v>-35</v>
      </c>
      <c r="C9">
        <f>IF(Specification!S13/2=0,#N/A,Specification!S13/2)</f>
        <v>35</v>
      </c>
      <c r="D9">
        <f>IF(-Specification!U13/2=0,#N/A,-Specification!U13/2)</f>
        <v>-27.5</v>
      </c>
      <c r="E9">
        <f>IF(Specification!U13/2=0,#N/A,Specification!U13/2)</f>
        <v>27.5</v>
      </c>
      <c r="H9" t="s">
        <v>59</v>
      </c>
      <c r="I9">
        <f>Specification!K175</f>
        <v>158.44499999999999</v>
      </c>
      <c r="J9">
        <v>0</v>
      </c>
      <c r="N9">
        <v>4</v>
      </c>
      <c r="Q9">
        <v>8</v>
      </c>
      <c r="R9">
        <v>158.49</v>
      </c>
      <c r="S9">
        <v>-60</v>
      </c>
    </row>
    <row r="10" spans="1:19" x14ac:dyDescent="0.2">
      <c r="A10" t="e">
        <f>IF(-Specification!S14/2=0,#N/A,Specification!K14)</f>
        <v>#N/A</v>
      </c>
      <c r="B10" t="e">
        <f>IF(-Specification!S14/2=0,#N/A,-Specification!S14/2)</f>
        <v>#N/A</v>
      </c>
      <c r="C10" t="e">
        <f>IF(Specification!S14/2=0,#N/A,Specification!S14/2)</f>
        <v>#N/A</v>
      </c>
      <c r="D10" t="e">
        <f>IF(-Specification!U14/2=0,#N/A,-Specification!U14/2)</f>
        <v>#N/A</v>
      </c>
      <c r="E10" t="e">
        <f>IF(Specification!U14/2=0,#N/A,Specification!U14/2)</f>
        <v>#N/A</v>
      </c>
      <c r="H10" t="s">
        <v>60</v>
      </c>
      <c r="I10">
        <f>Specification!N175</f>
        <v>158.54499908696081</v>
      </c>
      <c r="J10">
        <v>0</v>
      </c>
      <c r="N10">
        <v>4</v>
      </c>
      <c r="Q10">
        <v>8</v>
      </c>
      <c r="R10">
        <v>158.49</v>
      </c>
      <c r="S10">
        <v>60</v>
      </c>
    </row>
    <row r="11" spans="1:19" x14ac:dyDescent="0.2">
      <c r="A11">
        <f>IF(-Specification!S15/2=0,#N/A,Specification!K15)</f>
        <v>10.266678759141216</v>
      </c>
      <c r="B11">
        <f>IF(-Specification!S15/2=0,#N/A,-Specification!S15/2)</f>
        <v>-35</v>
      </c>
      <c r="C11">
        <f>IF(Specification!S15/2=0,#N/A,Specification!S15/2)</f>
        <v>35</v>
      </c>
      <c r="D11">
        <f>IF(-Specification!U15/2=0,#N/A,-Specification!U15/2)</f>
        <v>-27.5</v>
      </c>
      <c r="E11">
        <f>IF(Specification!U15/2=0,#N/A,Specification!U15/2)</f>
        <v>27.5</v>
      </c>
    </row>
    <row r="12" spans="1:19" x14ac:dyDescent="0.2">
      <c r="A12" t="e">
        <f>IF(-Specification!S16/2=0,#N/A,Specification!K16)</f>
        <v>#N/A</v>
      </c>
      <c r="B12" t="e">
        <f>IF(-Specification!S16/2=0,#N/A,-Specification!S16/2)</f>
        <v>#N/A</v>
      </c>
      <c r="C12" t="e">
        <f>IF(Specification!S16/2=0,#N/A,Specification!S16/2)</f>
        <v>#N/A</v>
      </c>
      <c r="D12" t="e">
        <f>IF(-Specification!U16/2=0,#N/A,-Specification!U16/2)</f>
        <v>#N/A</v>
      </c>
      <c r="E12" t="e">
        <f>IF(Specification!U16/2=0,#N/A,Specification!U16/2)</f>
        <v>#N/A</v>
      </c>
    </row>
    <row r="13" spans="1:19" x14ac:dyDescent="0.2">
      <c r="A13">
        <f>IF(-Specification!S17/2=0,#N/A,Specification!K17)</f>
        <v>12.448461696569689</v>
      </c>
      <c r="B13">
        <f>IF(-Specification!S17/2=0,#N/A,-Specification!S17/2)</f>
        <v>-35</v>
      </c>
      <c r="C13">
        <f>IF(Specification!S17/2=0,#N/A,Specification!S17/2)</f>
        <v>35</v>
      </c>
      <c r="D13">
        <f>IF(-Specification!U17/2=0,#N/A,-Specification!U17/2)</f>
        <v>-27.5</v>
      </c>
      <c r="E13">
        <f>IF(Specification!U17/2=0,#N/A,Specification!U17/2)</f>
        <v>27.5</v>
      </c>
    </row>
    <row r="14" spans="1:19" x14ac:dyDescent="0.2">
      <c r="A14" t="e">
        <f>IF(-Specification!S18/2=0,#N/A,Specification!K18)</f>
        <v>#N/A</v>
      </c>
      <c r="B14" t="e">
        <f>IF(-Specification!S18/2=0,#N/A,-Specification!S18/2)</f>
        <v>#N/A</v>
      </c>
      <c r="C14" t="e">
        <f>IF(Specification!S18/2=0,#N/A,Specification!S18/2)</f>
        <v>#N/A</v>
      </c>
      <c r="D14" t="e">
        <f>IF(-Specification!U18/2=0,#N/A,-Specification!U18/2)</f>
        <v>#N/A</v>
      </c>
      <c r="E14" t="e">
        <f>IF(Specification!U18/2=0,#N/A,Specification!U18/2)</f>
        <v>#N/A</v>
      </c>
    </row>
    <row r="15" spans="1:19" x14ac:dyDescent="0.2">
      <c r="A15">
        <f>IF(-Specification!S19/2=0,#N/A,Specification!K19)</f>
        <v>14.631233307555275</v>
      </c>
      <c r="B15">
        <f>IF(-Specification!S19/2=0,#N/A,-Specification!S19/2)</f>
        <v>-35</v>
      </c>
      <c r="C15">
        <f>IF(Specification!S19/2=0,#N/A,Specification!S19/2)</f>
        <v>35</v>
      </c>
      <c r="D15">
        <f>IF(-Specification!U19/2=0,#N/A,-Specification!U19/2)</f>
        <v>-27.5</v>
      </c>
      <c r="E15">
        <f>IF(Specification!U19/2=0,#N/A,Specification!U19/2)</f>
        <v>27.5</v>
      </c>
    </row>
    <row r="16" spans="1:19" x14ac:dyDescent="0.2">
      <c r="A16" t="e">
        <f>IF(-Specification!S20/2=0,#N/A,Specification!K20)</f>
        <v>#N/A</v>
      </c>
      <c r="B16" t="e">
        <f>IF(-Specification!S20/2=0,#N/A,-Specification!S20/2)</f>
        <v>#N/A</v>
      </c>
      <c r="C16" t="e">
        <f>IF(Specification!S20/2=0,#N/A,Specification!S20/2)</f>
        <v>#N/A</v>
      </c>
      <c r="D16" t="e">
        <f>IF(-Specification!U20/2=0,#N/A,-Specification!U20/2)</f>
        <v>#N/A</v>
      </c>
      <c r="E16" t="e">
        <f>IF(Specification!U20/2=0,#N/A,Specification!U20/2)</f>
        <v>#N/A</v>
      </c>
    </row>
    <row r="17" spans="1:5" x14ac:dyDescent="0.2">
      <c r="A17">
        <f>IF(-Specification!S21/2=0,#N/A,Specification!K21)</f>
        <v>15.458048723885605</v>
      </c>
      <c r="B17">
        <f>IF(-Specification!S21/2=0,#N/A,-Specification!S21/2)</f>
        <v>-35</v>
      </c>
      <c r="C17">
        <f>IF(Specification!S21/2=0,#N/A,Specification!S21/2)</f>
        <v>35</v>
      </c>
      <c r="D17">
        <f>IF(-Specification!U21/2=0,#N/A,-Specification!U21/2)</f>
        <v>-27.5</v>
      </c>
      <c r="E17">
        <f>IF(Specification!U21/2=0,#N/A,Specification!U21/2)</f>
        <v>27.5</v>
      </c>
    </row>
    <row r="18" spans="1:5" x14ac:dyDescent="0.2">
      <c r="A18" t="e">
        <f>IF(-Specification!S22/2=0,#N/A,Specification!K22)</f>
        <v>#N/A</v>
      </c>
      <c r="B18" t="e">
        <f>IF(-Specification!S22/2=0,#N/A,-Specification!S22/2)</f>
        <v>#N/A</v>
      </c>
      <c r="C18" t="e">
        <f>IF(Specification!S22/2=0,#N/A,Specification!S22/2)</f>
        <v>#N/A</v>
      </c>
      <c r="D18" t="e">
        <f>IF(-Specification!U22/2=0,#N/A,-Specification!U22/2)</f>
        <v>#N/A</v>
      </c>
      <c r="E18" t="e">
        <f>IF(Specification!U22/2=0,#N/A,Specification!U22/2)</f>
        <v>#N/A</v>
      </c>
    </row>
    <row r="19" spans="1:5" x14ac:dyDescent="0.2">
      <c r="A19">
        <f>IF(-Specification!S23/2=0,#N/A,Specification!K23)</f>
        <v>16.260008833789954</v>
      </c>
      <c r="B19">
        <f>IF(-Specification!S23/2=0,#N/A,-Specification!S23/2)</f>
        <v>-35</v>
      </c>
      <c r="C19">
        <f>IF(Specification!S23/2=0,#N/A,Specification!S23/2)</f>
        <v>35</v>
      </c>
      <c r="D19">
        <f>IF(-Specification!U23/2=0,#N/A,-Specification!U23/2)</f>
        <v>-27.5</v>
      </c>
      <c r="E19">
        <f>IF(Specification!U23/2=0,#N/A,Specification!U23/2)</f>
        <v>27.5</v>
      </c>
    </row>
    <row r="20" spans="1:5" x14ac:dyDescent="0.2">
      <c r="A20" t="e">
        <f>IF(-Specification!S24/2=0,#N/A,Specification!K24)</f>
        <v>#N/A</v>
      </c>
      <c r="B20" t="e">
        <f>IF(-Specification!S24/2=0,#N/A,-Specification!S24/2)</f>
        <v>#N/A</v>
      </c>
      <c r="C20" t="e">
        <f>IF(Specification!S24/2=0,#N/A,Specification!S24/2)</f>
        <v>#N/A</v>
      </c>
      <c r="D20" t="e">
        <f>IF(-Specification!U24/2=0,#N/A,-Specification!U24/2)</f>
        <v>#N/A</v>
      </c>
      <c r="E20" t="e">
        <f>IF(Specification!U24/2=0,#N/A,Specification!U24/2)</f>
        <v>#N/A</v>
      </c>
    </row>
    <row r="21" spans="1:5" x14ac:dyDescent="0.2">
      <c r="A21">
        <f>IF(-Specification!S25/2=0,#N/A,Specification!K25)</f>
        <v>17.963015805579317</v>
      </c>
      <c r="B21">
        <f>IF(-Specification!S25/2=0,#N/A,-Specification!S25/2)</f>
        <v>-35</v>
      </c>
      <c r="C21">
        <f>IF(Specification!S25/2=0,#N/A,Specification!S25/2)</f>
        <v>35</v>
      </c>
      <c r="D21">
        <f>IF(-Specification!U25/2=0,#N/A,-Specification!U25/2)</f>
        <v>-27.5</v>
      </c>
      <c r="E21">
        <f>IF(Specification!U25/2=0,#N/A,Specification!U25/2)</f>
        <v>27.5</v>
      </c>
    </row>
    <row r="22" spans="1:5" x14ac:dyDescent="0.2">
      <c r="A22" t="e">
        <f>IF(-Specification!S26/2=0,#N/A,Specification!K26)</f>
        <v>#N/A</v>
      </c>
      <c r="B22" t="e">
        <f>IF(-Specification!S26/2=0,#N/A,-Specification!S26/2)</f>
        <v>#N/A</v>
      </c>
      <c r="C22" t="e">
        <f>IF(Specification!S26/2=0,#N/A,Specification!S26/2)</f>
        <v>#N/A</v>
      </c>
      <c r="D22" t="e">
        <f>IF(-Specification!U26/2=0,#N/A,-Specification!U26/2)</f>
        <v>#N/A</v>
      </c>
      <c r="E22" t="e">
        <f>IF(Specification!U26/2=0,#N/A,Specification!U26/2)</f>
        <v>#N/A</v>
      </c>
    </row>
    <row r="23" spans="1:5" x14ac:dyDescent="0.2">
      <c r="A23">
        <f>IF(-Specification!S27/2=0,#N/A,Specification!K27)</f>
        <v>19.667008588308153</v>
      </c>
      <c r="B23">
        <f>IF(-Specification!S27/2=0,#N/A,-Specification!S27/2)</f>
        <v>-35</v>
      </c>
      <c r="C23">
        <f>IF(Specification!S27/2=0,#N/A,Specification!S27/2)</f>
        <v>35</v>
      </c>
      <c r="D23">
        <f>IF(-Specification!U27/2=0,#N/A,-Specification!U27/2)</f>
        <v>-27.5</v>
      </c>
      <c r="E23">
        <f>IF(Specification!U27/2=0,#N/A,Specification!U27/2)</f>
        <v>27.5</v>
      </c>
    </row>
    <row r="24" spans="1:5" x14ac:dyDescent="0.2">
      <c r="A24" t="e">
        <f>IF(-Specification!S28/2=0,#N/A,Specification!K28)</f>
        <v>#N/A</v>
      </c>
      <c r="B24" t="e">
        <f>IF(-Specification!S28/2=0,#N/A,-Specification!S28/2)</f>
        <v>#N/A</v>
      </c>
      <c r="C24" t="e">
        <f>IF(Specification!S28/2=0,#N/A,Specification!S28/2)</f>
        <v>#N/A</v>
      </c>
      <c r="D24" t="e">
        <f>IF(-Specification!U28/2=0,#N/A,-Specification!U28/2)</f>
        <v>#N/A</v>
      </c>
      <c r="E24" t="e">
        <f>IF(Specification!U28/2=0,#N/A,Specification!U28/2)</f>
        <v>#N/A</v>
      </c>
    </row>
    <row r="25" spans="1:5" x14ac:dyDescent="0.2">
      <c r="A25">
        <f>IF(-Specification!S29/2=0,#N/A,Specification!K29)</f>
        <v>20.49374807424331</v>
      </c>
      <c r="B25">
        <f>IF(-Specification!S29/2=0,#N/A,-Specification!S29/2)</f>
        <v>-35</v>
      </c>
      <c r="C25">
        <f>IF(Specification!S29/2=0,#N/A,Specification!S29/2)</f>
        <v>35</v>
      </c>
      <c r="D25">
        <f>IF(-Specification!U29/2=0,#N/A,-Specification!U29/2)</f>
        <v>-27.5</v>
      </c>
      <c r="E25">
        <f>IF(Specification!U29/2=0,#N/A,Specification!U29/2)</f>
        <v>27.5</v>
      </c>
    </row>
    <row r="26" spans="1:5" x14ac:dyDescent="0.2">
      <c r="A26" t="e">
        <f>IF(-Specification!S30/2=0,#N/A,Specification!K30)</f>
        <v>#N/A</v>
      </c>
      <c r="B26" t="e">
        <f>IF(-Specification!S30/2=0,#N/A,-Specification!S30/2)</f>
        <v>#N/A</v>
      </c>
      <c r="C26" t="e">
        <f>IF(Specification!S30/2=0,#N/A,Specification!S30/2)</f>
        <v>#N/A</v>
      </c>
      <c r="D26" t="e">
        <f>IF(-Specification!U30/2=0,#N/A,-Specification!U30/2)</f>
        <v>#N/A</v>
      </c>
      <c r="E26" t="e">
        <f>IF(Specification!U30/2=0,#N/A,Specification!U30/2)</f>
        <v>#N/A</v>
      </c>
    </row>
    <row r="27" spans="1:5" x14ac:dyDescent="0.2">
      <c r="A27">
        <f>IF(-Specification!S31/2=0,#N/A,Specification!K31)</f>
        <v>21.295687765216861</v>
      </c>
      <c r="B27">
        <f>IF(-Specification!S31/2=0,#N/A,-Specification!S31/2)</f>
        <v>-35</v>
      </c>
      <c r="C27">
        <f>IF(Specification!S31/2=0,#N/A,Specification!S31/2)</f>
        <v>35</v>
      </c>
      <c r="D27">
        <f>IF(-Specification!U31/2=0,#N/A,-Specification!U31/2)</f>
        <v>-27.5</v>
      </c>
      <c r="E27">
        <f>IF(Specification!U31/2=0,#N/A,Specification!U31/2)</f>
        <v>27.5</v>
      </c>
    </row>
    <row r="28" spans="1:5" x14ac:dyDescent="0.2">
      <c r="A28" t="e">
        <f>IF(-Specification!S32/2=0,#N/A,Specification!K32)</f>
        <v>#N/A</v>
      </c>
      <c r="B28" t="e">
        <f>IF(-Specification!S32/2=0,#N/A,-Specification!S32/2)</f>
        <v>#N/A</v>
      </c>
      <c r="C28" t="e">
        <f>IF(Specification!S32/2=0,#N/A,Specification!S32/2)</f>
        <v>#N/A</v>
      </c>
      <c r="D28" t="e">
        <f>IF(-Specification!U32/2=0,#N/A,-Specification!U32/2)</f>
        <v>#N/A</v>
      </c>
      <c r="E28" t="e">
        <f>IF(Specification!U32/2=0,#N/A,Specification!U32/2)</f>
        <v>#N/A</v>
      </c>
    </row>
    <row r="29" spans="1:5" x14ac:dyDescent="0.2">
      <c r="A29">
        <f>IF(-Specification!S33/2=0,#N/A,Specification!K33)</f>
        <v>23.296519024746431</v>
      </c>
      <c r="B29">
        <f>IF(-Specification!S33/2=0,#N/A,-Specification!S33/2)</f>
        <v>-35</v>
      </c>
      <c r="C29">
        <f>IF(Specification!S33/2=0,#N/A,Specification!S33/2)</f>
        <v>35</v>
      </c>
      <c r="D29">
        <f>IF(-Specification!U33/2=0,#N/A,-Specification!U33/2)</f>
        <v>-27.5</v>
      </c>
      <c r="E29">
        <f>IF(Specification!U33/2=0,#N/A,Specification!U33/2)</f>
        <v>27.5</v>
      </c>
    </row>
    <row r="30" spans="1:5" x14ac:dyDescent="0.2">
      <c r="A30" t="e">
        <f>IF(-Specification!S34/2=0,#N/A,Specification!K34)</f>
        <v>#N/A</v>
      </c>
      <c r="B30" t="e">
        <f>IF(-Specification!S34/2=0,#N/A,-Specification!S34/2)</f>
        <v>#N/A</v>
      </c>
      <c r="C30" t="e">
        <f>IF(Specification!S34/2=0,#N/A,Specification!S34/2)</f>
        <v>#N/A</v>
      </c>
      <c r="D30" t="e">
        <f>IF(-Specification!U34/2=0,#N/A,-Specification!U34/2)</f>
        <v>#N/A</v>
      </c>
      <c r="E30" t="e">
        <f>IF(Specification!U34/2=0,#N/A,Specification!U34/2)</f>
        <v>#N/A</v>
      </c>
    </row>
    <row r="31" spans="1:5" x14ac:dyDescent="0.2">
      <c r="A31">
        <f>IF(-Specification!S35/2=0,#N/A,Specification!K35)</f>
        <v>23.998453054291542</v>
      </c>
      <c r="B31">
        <f>IF(-Specification!S35/2=0,#N/A,-Specification!S35/2)</f>
        <v>-35</v>
      </c>
      <c r="C31">
        <f>IF(Specification!S35/2=0,#N/A,Specification!S35/2)</f>
        <v>35</v>
      </c>
      <c r="D31">
        <f>IF(-Specification!U35/2=0,#N/A,-Specification!U35/2)</f>
        <v>-27.5</v>
      </c>
      <c r="E31">
        <f>IF(Specification!U35/2=0,#N/A,Specification!U35/2)</f>
        <v>27.5</v>
      </c>
    </row>
    <row r="32" spans="1:5" x14ac:dyDescent="0.2">
      <c r="A32" t="e">
        <f>IF(-Specification!S36/2=0,#N/A,Specification!K36)</f>
        <v>#N/A</v>
      </c>
      <c r="B32" t="e">
        <f>IF(-Specification!S36/2=0,#N/A,-Specification!S36/2)</f>
        <v>#N/A</v>
      </c>
      <c r="C32" t="e">
        <f>IF(Specification!S36/2=0,#N/A,Specification!S36/2)</f>
        <v>#N/A</v>
      </c>
      <c r="D32" t="e">
        <f>IF(-Specification!U36/2=0,#N/A,-Specification!U36/2)</f>
        <v>#N/A</v>
      </c>
      <c r="E32" t="e">
        <f>IF(Specification!U36/2=0,#N/A,Specification!U36/2)</f>
        <v>#N/A</v>
      </c>
    </row>
    <row r="33" spans="1:5" x14ac:dyDescent="0.2">
      <c r="A33">
        <f>IF(-Specification!S37/2=0,#N/A,Specification!K37)</f>
        <v>25.99924405061148</v>
      </c>
      <c r="B33">
        <f>IF(-Specification!S37/2=0,#N/A,-Specification!S37/2)</f>
        <v>-35</v>
      </c>
      <c r="C33">
        <f>IF(Specification!S37/2=0,#N/A,Specification!S37/2)</f>
        <v>35</v>
      </c>
      <c r="D33">
        <f>IF(-Specification!U37/2=0,#N/A,-Specification!U37/2)</f>
        <v>-27.5</v>
      </c>
      <c r="E33">
        <f>IF(Specification!U37/2=0,#N/A,Specification!U37/2)</f>
        <v>27.5</v>
      </c>
    </row>
    <row r="34" spans="1:5" x14ac:dyDescent="0.2">
      <c r="A34" t="e">
        <f>IF(-Specification!S38/2=0,#N/A,Specification!K38)</f>
        <v>#N/A</v>
      </c>
      <c r="B34" t="e">
        <f>IF(-Specification!S38/2=0,#N/A,-Specification!S38/2)</f>
        <v>#N/A</v>
      </c>
      <c r="C34" t="e">
        <f>IF(Specification!S38/2=0,#N/A,Specification!S38/2)</f>
        <v>#N/A</v>
      </c>
      <c r="D34" t="e">
        <f>IF(-Specification!U38/2=0,#N/A,-Specification!U38/2)</f>
        <v>#N/A</v>
      </c>
      <c r="E34" t="e">
        <f>IF(Specification!U38/2=0,#N/A,Specification!U38/2)</f>
        <v>#N/A</v>
      </c>
    </row>
    <row r="35" spans="1:5" x14ac:dyDescent="0.2">
      <c r="A35">
        <f>IF(-Specification!S40/2=0,#N/A,Specification!K40)</f>
        <v>28.402947523996573</v>
      </c>
      <c r="B35">
        <f>IF(-Specification!S40/2=0,#N/A,-Specification!S40/2)</f>
        <v>-35</v>
      </c>
      <c r="C35">
        <f>IF(Specification!S40/2=0,#N/A,Specification!S40/2)</f>
        <v>35</v>
      </c>
      <c r="D35">
        <f>IF(-Specification!U40/2=0,#N/A,-Specification!U40/2)</f>
        <v>-27.5</v>
      </c>
      <c r="E35">
        <f>IF(Specification!U40/2=0,#N/A,Specification!U40/2)</f>
        <v>27.5</v>
      </c>
    </row>
    <row r="36" spans="1:5" x14ac:dyDescent="0.2">
      <c r="A36" t="e">
        <f>IF(-Specification!S41/2=0,#N/A,Specification!K41)</f>
        <v>#N/A</v>
      </c>
      <c r="B36" t="e">
        <f>IF(-Specification!S41/2=0,#N/A,-Specification!S41/2)</f>
        <v>#N/A</v>
      </c>
      <c r="C36" t="e">
        <f>IF(Specification!S41/2=0,#N/A,Specification!S41/2)</f>
        <v>#N/A</v>
      </c>
      <c r="D36" t="e">
        <f>IF(-Specification!U41/2=0,#N/A,-Specification!U41/2)</f>
        <v>#N/A</v>
      </c>
      <c r="E36" t="e">
        <f>IF(Specification!U41/2=0,#N/A,Specification!U41/2)</f>
        <v>#N/A</v>
      </c>
    </row>
    <row r="37" spans="1:5" x14ac:dyDescent="0.2">
      <c r="A37">
        <f>IF(-Specification!S42/2=0,#N/A,Specification!K42)</f>
        <v>29.901757747344199</v>
      </c>
      <c r="B37">
        <f>IF(-Specification!S42/2=0,#N/A,-Specification!S42/2)</f>
        <v>-35</v>
      </c>
      <c r="C37">
        <f>IF(Specification!S42/2=0,#N/A,Specification!S42/2)</f>
        <v>35</v>
      </c>
      <c r="D37">
        <f>IF(-Specification!U42/2=0,#N/A,-Specification!U42/2)</f>
        <v>-27.5</v>
      </c>
      <c r="E37">
        <f>IF(Specification!U42/2=0,#N/A,Specification!U42/2)</f>
        <v>27.5</v>
      </c>
    </row>
    <row r="38" spans="1:5" x14ac:dyDescent="0.2">
      <c r="A38" t="e">
        <f>IF(-Specification!S43/2=0,#N/A,Specification!K43)</f>
        <v>#N/A</v>
      </c>
      <c r="B38" t="e">
        <f>IF(-Specification!S43/2=0,#N/A,-Specification!S43/2)</f>
        <v>#N/A</v>
      </c>
      <c r="C38" t="e">
        <f>IF(Specification!S43/2=0,#N/A,Specification!S43/2)</f>
        <v>#N/A</v>
      </c>
      <c r="D38" t="e">
        <f>IF(-Specification!U43/2=0,#N/A,-Specification!U43/2)</f>
        <v>#N/A</v>
      </c>
      <c r="E38" t="e">
        <f>IF(Specification!U43/2=0,#N/A,Specification!U43/2)</f>
        <v>#N/A</v>
      </c>
    </row>
    <row r="39" spans="1:5" x14ac:dyDescent="0.2">
      <c r="A39">
        <f>IF(-Specification!S44/2=0,#N/A,Specification!K44)</f>
        <v>31.903539250927178</v>
      </c>
      <c r="B39">
        <f>IF(-Specification!S44/2=0,#N/A,-Specification!S44/2)</f>
        <v>-35</v>
      </c>
      <c r="C39">
        <f>IF(Specification!S44/2=0,#N/A,Specification!S44/2)</f>
        <v>35</v>
      </c>
      <c r="D39">
        <f>IF(-Specification!U44/2=0,#N/A,-Specification!U44/2)</f>
        <v>-27.5</v>
      </c>
      <c r="E39">
        <f>IF(Specification!U44/2=0,#N/A,Specification!U44/2)</f>
        <v>27.5</v>
      </c>
    </row>
    <row r="40" spans="1:5" x14ac:dyDescent="0.2">
      <c r="A40" t="e">
        <f>IF(-Specification!S45/2=0,#N/A,Specification!K45)</f>
        <v>#N/A</v>
      </c>
      <c r="B40" t="e">
        <f>IF(-Specification!S45/2=0,#N/A,-Specification!S45/2)</f>
        <v>#N/A</v>
      </c>
      <c r="C40" t="e">
        <f>IF(Specification!S45/2=0,#N/A,Specification!S45/2)</f>
        <v>#N/A</v>
      </c>
      <c r="D40" t="e">
        <f>IF(-Specification!U45/2=0,#N/A,-Specification!U45/2)</f>
        <v>#N/A</v>
      </c>
      <c r="E40" t="e">
        <f>IF(Specification!U45/2=0,#N/A,Specification!U45/2)</f>
        <v>#N/A</v>
      </c>
    </row>
    <row r="41" spans="1:5" x14ac:dyDescent="0.2">
      <c r="A41">
        <f>IF(-Specification!S46/2=0,#N/A,Specification!K46)</f>
        <v>33.904357414274102</v>
      </c>
      <c r="B41">
        <f>IF(-Specification!S46/2=0,#N/A,-Specification!S46/2)</f>
        <v>-35</v>
      </c>
      <c r="C41">
        <f>IF(Specification!S46/2=0,#N/A,Specification!S46/2)</f>
        <v>35</v>
      </c>
      <c r="D41">
        <f>IF(-Specification!U46/2=0,#N/A,-Specification!U46/2)</f>
        <v>-27.5</v>
      </c>
      <c r="E41">
        <f>IF(Specification!U46/2=0,#N/A,Specification!U46/2)</f>
        <v>27.5</v>
      </c>
    </row>
    <row r="42" spans="1:5" x14ac:dyDescent="0.2">
      <c r="A42" t="e">
        <f>IF(-Specification!S47/2=0,#N/A,Specification!K47)</f>
        <v>#N/A</v>
      </c>
      <c r="B42" t="e">
        <f>IF(-Specification!S47/2=0,#N/A,-Specification!S47/2)</f>
        <v>#N/A</v>
      </c>
      <c r="C42" t="e">
        <f>IF(Specification!S47/2=0,#N/A,Specification!S47/2)</f>
        <v>#N/A</v>
      </c>
      <c r="D42" t="e">
        <f>IF(-Specification!U47/2=0,#N/A,-Specification!U47/2)</f>
        <v>#N/A</v>
      </c>
      <c r="E42" t="e">
        <f>IF(Specification!U47/2=0,#N/A,Specification!U47/2)</f>
        <v>#N/A</v>
      </c>
    </row>
    <row r="43" spans="1:5" x14ac:dyDescent="0.2">
      <c r="A43">
        <f>IF(-Specification!S48/2=0,#N/A,Specification!K48)</f>
        <v>35.906208421483811</v>
      </c>
      <c r="B43">
        <f>IF(-Specification!S48/2=0,#N/A,-Specification!S48/2)</f>
        <v>-35</v>
      </c>
      <c r="C43">
        <f>IF(Specification!S48/2=0,#N/A,Specification!S48/2)</f>
        <v>35</v>
      </c>
      <c r="D43">
        <f>IF(-Specification!U48/2=0,#N/A,-Specification!U48/2)</f>
        <v>-27.5</v>
      </c>
      <c r="E43">
        <f>IF(Specification!U48/2=0,#N/A,Specification!U48/2)</f>
        <v>27.5</v>
      </c>
    </row>
    <row r="44" spans="1:5" x14ac:dyDescent="0.2">
      <c r="A44" t="e">
        <f>IF(-Specification!S49/2=0,#N/A,Specification!K49)</f>
        <v>#N/A</v>
      </c>
      <c r="B44" t="e">
        <f>IF(-Specification!S49/2=0,#N/A,-Specification!S49/2)</f>
        <v>#N/A</v>
      </c>
      <c r="C44" t="e">
        <f>IF(Specification!S49/2=0,#N/A,Specification!S49/2)</f>
        <v>#N/A</v>
      </c>
      <c r="D44" t="e">
        <f>IF(-Specification!U49/2=0,#N/A,-Specification!U49/2)</f>
        <v>#N/A</v>
      </c>
      <c r="E44" t="e">
        <f>IF(Specification!U49/2=0,#N/A,Specification!U49/2)</f>
        <v>#N/A</v>
      </c>
    </row>
    <row r="45" spans="1:5" x14ac:dyDescent="0.2">
      <c r="A45">
        <f>IF(-Specification!S50/2=0,#N/A,Specification!K50)</f>
        <v>37.907088789888284</v>
      </c>
      <c r="B45">
        <f>IF(-Specification!S50/2=0,#N/A,-Specification!S50/2)</f>
        <v>-35</v>
      </c>
      <c r="C45">
        <f>IF(Specification!S50/2=0,#N/A,Specification!S50/2)</f>
        <v>35</v>
      </c>
      <c r="D45">
        <f>IF(-Specification!U50/2=0,#N/A,-Specification!U50/2)</f>
        <v>-27.5</v>
      </c>
      <c r="E45">
        <f>IF(Specification!U50/2=0,#N/A,Specification!U50/2)</f>
        <v>27.5</v>
      </c>
    </row>
    <row r="46" spans="1:5" x14ac:dyDescent="0.2">
      <c r="A46" t="e">
        <f>IF(-Specification!S51/2=0,#N/A,Specification!K51)</f>
        <v>#N/A</v>
      </c>
      <c r="B46" t="e">
        <f>IF(-Specification!S51/2=0,#N/A,-Specification!S51/2)</f>
        <v>#N/A</v>
      </c>
      <c r="C46" t="e">
        <f>IF(Specification!S51/2=0,#N/A,Specification!S51/2)</f>
        <v>#N/A</v>
      </c>
      <c r="D46" t="e">
        <f>IF(-Specification!U51/2=0,#N/A,-Specification!U51/2)</f>
        <v>#N/A</v>
      </c>
      <c r="E46" t="e">
        <f>IF(Specification!U51/2=0,#N/A,Specification!U51/2)</f>
        <v>#N/A</v>
      </c>
    </row>
    <row r="47" spans="1:5" x14ac:dyDescent="0.2">
      <c r="A47">
        <f>IF(-Specification!S52/2=0,#N/A,Specification!K52)</f>
        <v>39.908994765613009</v>
      </c>
      <c r="B47">
        <f>IF(-Specification!S52/2=0,#N/A,-Specification!S52/2)</f>
        <v>-35</v>
      </c>
      <c r="C47">
        <f>IF(Specification!S52/2=0,#N/A,Specification!S52/2)</f>
        <v>35</v>
      </c>
      <c r="D47">
        <f>IF(-Specification!U52/2=0,#N/A,-Specification!U52/2)</f>
        <v>-27.5</v>
      </c>
      <c r="E47">
        <f>IF(Specification!U52/2=0,#N/A,Specification!U52/2)</f>
        <v>27.5</v>
      </c>
    </row>
    <row r="48" spans="1:5" x14ac:dyDescent="0.2">
      <c r="A48" t="e">
        <f>IF(-Specification!S53/2=0,#N/A,Specification!K53)</f>
        <v>#N/A</v>
      </c>
      <c r="B48" t="e">
        <f>IF(-Specification!S53/2=0,#N/A,-Specification!S53/2)</f>
        <v>#N/A</v>
      </c>
      <c r="C48" t="e">
        <f>IF(Specification!S53/2=0,#N/A,Specification!S53/2)</f>
        <v>#N/A</v>
      </c>
      <c r="D48" t="e">
        <f>IF(-Specification!U53/2=0,#N/A,-Specification!U53/2)</f>
        <v>#N/A</v>
      </c>
      <c r="E48" t="e">
        <f>IF(Specification!U53/2=0,#N/A,Specification!U53/2)</f>
        <v>#N/A</v>
      </c>
    </row>
    <row r="49" spans="1:5" x14ac:dyDescent="0.2">
      <c r="A49">
        <f>IF(-Specification!S54/2=0,#N/A,Specification!K54)</f>
        <v>41.909922810948615</v>
      </c>
      <c r="B49">
        <f>IF(-Specification!S54/2=0,#N/A,-Specification!S54/2)</f>
        <v>-35</v>
      </c>
      <c r="C49">
        <f>IF(Specification!S54/2=0,#N/A,Specification!S54/2)</f>
        <v>35</v>
      </c>
      <c r="D49">
        <f>IF(-Specification!U54/2=0,#N/A,-Specification!U54/2)</f>
        <v>-27.5</v>
      </c>
      <c r="E49">
        <f>IF(Specification!U54/2=0,#N/A,Specification!U54/2)</f>
        <v>27.5</v>
      </c>
    </row>
    <row r="50" spans="1:5" x14ac:dyDescent="0.2">
      <c r="A50" t="e">
        <f>IF(-Specification!S55/2=0,#N/A,Specification!K55)</f>
        <v>#N/A</v>
      </c>
      <c r="B50" t="e">
        <f>IF(-Specification!S55/2=0,#N/A,-Specification!S55/2)</f>
        <v>#N/A</v>
      </c>
      <c r="C50" t="e">
        <f>IF(Specification!S55/2=0,#N/A,Specification!S55/2)</f>
        <v>#N/A</v>
      </c>
      <c r="D50" t="e">
        <f>IF(-Specification!U55/2=0,#N/A,-Specification!U55/2)</f>
        <v>#N/A</v>
      </c>
      <c r="E50" t="e">
        <f>IF(Specification!U55/2=0,#N/A,Specification!U55/2)</f>
        <v>#N/A</v>
      </c>
    </row>
    <row r="51" spans="1:5" x14ac:dyDescent="0.2">
      <c r="A51">
        <f>IF(-Specification!S56/2=0,#N/A,Specification!K56)</f>
        <v>43.911869219565325</v>
      </c>
      <c r="B51">
        <f>IF(-Specification!S56/2=0,#N/A,-Specification!S56/2)</f>
        <v>-35</v>
      </c>
      <c r="C51">
        <f>IF(Specification!S56/2=0,#N/A,Specification!S56/2)</f>
        <v>35</v>
      </c>
      <c r="D51">
        <f>IF(-Specification!U56/2=0,#N/A,-Specification!U56/2)</f>
        <v>-27.5</v>
      </c>
      <c r="E51">
        <f>IF(Specification!U56/2=0,#N/A,Specification!U56/2)</f>
        <v>27.5</v>
      </c>
    </row>
    <row r="52" spans="1:5" x14ac:dyDescent="0.2">
      <c r="A52" t="e">
        <f>IF(-Specification!S57/2=0,#N/A,Specification!K57)</f>
        <v>#N/A</v>
      </c>
      <c r="B52" t="e">
        <f>IF(-Specification!S57/2=0,#N/A,-Specification!S57/2)</f>
        <v>#N/A</v>
      </c>
      <c r="C52" t="e">
        <f>IF(Specification!S57/2=0,#N/A,Specification!S57/2)</f>
        <v>#N/A</v>
      </c>
      <c r="D52" t="e">
        <f>IF(-Specification!U57/2=0,#N/A,-Specification!U57/2)</f>
        <v>#N/A</v>
      </c>
      <c r="E52" t="e">
        <f>IF(Specification!U57/2=0,#N/A,Specification!U57/2)</f>
        <v>#N/A</v>
      </c>
    </row>
    <row r="53" spans="1:5" x14ac:dyDescent="0.2">
      <c r="A53">
        <f>IF(-Specification!S58/2=0,#N/A,Specification!K58)</f>
        <v>45.912830413272417</v>
      </c>
      <c r="B53">
        <f>IF(-Specification!S58/2=0,#N/A,-Specification!S58/2)</f>
        <v>-35</v>
      </c>
      <c r="C53">
        <f>IF(Specification!S58/2=0,#N/A,Specification!S58/2)</f>
        <v>35</v>
      </c>
      <c r="D53">
        <f>IF(-Specification!U58/2=0,#N/A,-Specification!U58/2)</f>
        <v>-27.5</v>
      </c>
      <c r="E53">
        <f>IF(Specification!U58/2=0,#N/A,Specification!U58/2)</f>
        <v>27.5</v>
      </c>
    </row>
    <row r="54" spans="1:5" x14ac:dyDescent="0.2">
      <c r="A54" t="e">
        <f>IF(-Specification!S59/2=0,#N/A,Specification!K59)</f>
        <v>#N/A</v>
      </c>
      <c r="B54" t="e">
        <f>IF(-Specification!S59/2=0,#N/A,-Specification!S59/2)</f>
        <v>#N/A</v>
      </c>
      <c r="C54" t="e">
        <f>IF(Specification!S59/2=0,#N/A,Specification!S59/2)</f>
        <v>#N/A</v>
      </c>
      <c r="D54" t="e">
        <f>IF(-Specification!U59/2=0,#N/A,-Specification!U59/2)</f>
        <v>#N/A</v>
      </c>
      <c r="E54" t="e">
        <f>IF(Specification!U59/2=0,#N/A,Specification!U59/2)</f>
        <v>#N/A</v>
      </c>
    </row>
    <row r="55" spans="1:5" x14ac:dyDescent="0.2">
      <c r="A55">
        <f>IF(-Specification!S60/2=0,#N/A,Specification!K60)</f>
        <v>47.914802718802463</v>
      </c>
      <c r="B55">
        <f>IF(-Specification!S60/2=0,#N/A,-Specification!S60/2)</f>
        <v>-35</v>
      </c>
      <c r="C55">
        <f>IF(Specification!S60/2=0,#N/A,Specification!S60/2)</f>
        <v>35</v>
      </c>
      <c r="D55">
        <f>IF(-Specification!U60/2=0,#N/A,-Specification!U60/2)</f>
        <v>-27.5</v>
      </c>
      <c r="E55">
        <f>IF(Specification!U60/2=0,#N/A,Specification!U60/2)</f>
        <v>27.5</v>
      </c>
    </row>
    <row r="56" spans="1:5" x14ac:dyDescent="0.2">
      <c r="A56" t="e">
        <f>IF(-Specification!S61/2=0,#N/A,Specification!K61)</f>
        <v>#N/A</v>
      </c>
      <c r="B56" t="e">
        <f>IF(-Specification!S61/2=0,#N/A,-Specification!S61/2)</f>
        <v>#N/A</v>
      </c>
      <c r="C56" t="e">
        <f>IF(Specification!S61/2=0,#N/A,Specification!S61/2)</f>
        <v>#N/A</v>
      </c>
      <c r="D56" t="e">
        <f>IF(-Specification!U61/2=0,#N/A,-Specification!U61/2)</f>
        <v>#N/A</v>
      </c>
      <c r="E56" t="e">
        <f>IF(Specification!U61/2=0,#N/A,Specification!U61/2)</f>
        <v>#N/A</v>
      </c>
    </row>
    <row r="57" spans="1:5" x14ac:dyDescent="0.2">
      <c r="A57">
        <f>IF(-Specification!S62/2=0,#N/A,Specification!K62)</f>
        <v>49.915782532043764</v>
      </c>
      <c r="B57">
        <f>IF(-Specification!S62/2=0,#N/A,-Specification!S62/2)</f>
        <v>-35</v>
      </c>
      <c r="C57">
        <f>IF(Specification!S62/2=0,#N/A,Specification!S62/2)</f>
        <v>35</v>
      </c>
      <c r="D57">
        <f>IF(-Specification!U62/2=0,#N/A,-Specification!U62/2)</f>
        <v>-27.5</v>
      </c>
      <c r="E57">
        <f>IF(Specification!U62/2=0,#N/A,Specification!U62/2)</f>
        <v>27.5</v>
      </c>
    </row>
    <row r="58" spans="1:5" x14ac:dyDescent="0.2">
      <c r="A58" t="e">
        <f>IF(-Specification!S63/2=0,#N/A,Specification!K63)</f>
        <v>#N/A</v>
      </c>
      <c r="B58" t="e">
        <f>IF(-Specification!S63/2=0,#N/A,-Specification!S63/2)</f>
        <v>#N/A</v>
      </c>
      <c r="C58" t="e">
        <f>IF(Specification!S63/2=0,#N/A,Specification!S63/2)</f>
        <v>#N/A</v>
      </c>
      <c r="D58" t="e">
        <f>IF(-Specification!U63/2=0,#N/A,-Specification!U63/2)</f>
        <v>#N/A</v>
      </c>
      <c r="E58" t="e">
        <f>IF(Specification!U63/2=0,#N/A,Specification!U63/2)</f>
        <v>#N/A</v>
      </c>
    </row>
    <row r="59" spans="1:5" x14ac:dyDescent="0.2">
      <c r="A59">
        <f>IF(-Specification!S64/2=0,#N/A,Specification!K64)</f>
        <v>51.917766198308641</v>
      </c>
      <c r="B59">
        <f>IF(-Specification!S64/2=0,#N/A,-Specification!S64/2)</f>
        <v>-35</v>
      </c>
      <c r="C59">
        <f>IF(Specification!S64/2=0,#N/A,Specification!S64/2)</f>
        <v>35</v>
      </c>
      <c r="D59">
        <f>IF(-Specification!U64/2=0,#N/A,-Specification!U64/2)</f>
        <v>-27.5</v>
      </c>
      <c r="E59">
        <f>IF(Specification!U64/2=0,#N/A,Specification!U64/2)</f>
        <v>27.5</v>
      </c>
    </row>
    <row r="60" spans="1:5" x14ac:dyDescent="0.2">
      <c r="A60" t="e">
        <f>IF(-Specification!S65/2=0,#N/A,Specification!K65)</f>
        <v>#N/A</v>
      </c>
      <c r="B60" t="e">
        <f>IF(-Specification!S65/2=0,#N/A,-Specification!S65/2)</f>
        <v>#N/A</v>
      </c>
      <c r="C60" t="e">
        <f>IF(Specification!S65/2=0,#N/A,Specification!S65/2)</f>
        <v>#N/A</v>
      </c>
      <c r="D60" t="e">
        <f>IF(-Specification!U65/2=0,#N/A,-Specification!U65/2)</f>
        <v>#N/A</v>
      </c>
      <c r="E60" t="e">
        <f>IF(Specification!U65/2=0,#N/A,Specification!U65/2)</f>
        <v>#N/A</v>
      </c>
    </row>
    <row r="61" spans="1:5" x14ac:dyDescent="0.2">
      <c r="A61">
        <f>IF(-Specification!S66/2=0,#N/A,Specification!K66)</f>
        <v>54.402745937467266</v>
      </c>
      <c r="B61">
        <f>IF(-Specification!S66/2=0,#N/A,-Specification!S66/2)</f>
        <v>-35.004129411824472</v>
      </c>
      <c r="C61">
        <f>IF(Specification!S66/2=0,#N/A,Specification!S66/2)</f>
        <v>35.004129411824472</v>
      </c>
      <c r="D61">
        <f>IF(-Specification!U66/2=0,#N/A,-Specification!U66/2)</f>
        <v>-27.505318910193292</v>
      </c>
      <c r="E61">
        <f>IF(Specification!U66/2=0,#N/A,Specification!U66/2)</f>
        <v>27.505318910193292</v>
      </c>
    </row>
    <row r="62" spans="1:5" x14ac:dyDescent="0.2">
      <c r="A62" t="e">
        <f>IF(-Specification!S67/2=0,#N/A,Specification!K67)</f>
        <v>#N/A</v>
      </c>
      <c r="B62" t="e">
        <f>IF(-Specification!S67/2=0,#N/A,-Specification!S67/2)</f>
        <v>#N/A</v>
      </c>
      <c r="C62" t="e">
        <f>IF(Specification!S67/2=0,#N/A,Specification!S67/2)</f>
        <v>#N/A</v>
      </c>
      <c r="D62" t="e">
        <f>IF(-Specification!U67/2=0,#N/A,-Specification!U67/2)</f>
        <v>#N/A</v>
      </c>
      <c r="E62" t="e">
        <f>IF(Specification!U67/2=0,#N/A,Specification!U67/2)</f>
        <v>#N/A</v>
      </c>
    </row>
    <row r="63" spans="1:5" x14ac:dyDescent="0.2">
      <c r="A63">
        <f>IF(-Specification!S68/2=0,#N/A,Specification!K68)</f>
        <v>56.404727658422701</v>
      </c>
      <c r="B63">
        <f>IF(-Specification!S68/2=0,#N/A,-Specification!S68/2)</f>
        <v>-42.063628160863701</v>
      </c>
      <c r="C63">
        <f>IF(Specification!S68/2=0,#N/A,Specification!S68/2)</f>
        <v>42.063628160863701</v>
      </c>
      <c r="D63">
        <f>IF(-Specification!U68/2=0,#N/A,-Specification!U68/2)</f>
        <v>-34.194163135775668</v>
      </c>
      <c r="E63">
        <f>IF(Specification!U68/2=0,#N/A,Specification!U68/2)</f>
        <v>34.194163135775668</v>
      </c>
    </row>
    <row r="64" spans="1:5" x14ac:dyDescent="0.2">
      <c r="A64" t="e">
        <f>IF(-Specification!S69/2=0,#N/A,Specification!K69)</f>
        <v>#N/A</v>
      </c>
      <c r="B64" t="e">
        <f>IF(-Specification!S69/2=0,#N/A,-Specification!S69/2)</f>
        <v>#N/A</v>
      </c>
      <c r="C64" t="e">
        <f>IF(Specification!S69/2=0,#N/A,Specification!S69/2)</f>
        <v>#N/A</v>
      </c>
      <c r="D64" t="e">
        <f>IF(-Specification!U69/2=0,#N/A,-Specification!U69/2)</f>
        <v>#N/A</v>
      </c>
      <c r="E64" t="e">
        <f>IF(Specification!U69/2=0,#N/A,Specification!U69/2)</f>
        <v>#N/A</v>
      </c>
    </row>
    <row r="65" spans="1:5" x14ac:dyDescent="0.2">
      <c r="A65">
        <f>IF(-Specification!S70/2=0,#N/A,Specification!K70)</f>
        <v>58.405709388508527</v>
      </c>
      <c r="B65">
        <f>IF(-Specification!S70/2=0,#N/A,-Specification!S70/2)</f>
        <v>-47.407120970756857</v>
      </c>
      <c r="C65">
        <f>IF(Specification!S70/2=0,#N/A,Specification!S70/2)</f>
        <v>47.407120970756857</v>
      </c>
      <c r="D65">
        <f>IF(-Specification!U70/2=0,#N/A,-Specification!U70/2)</f>
        <v>-39.441355119065733</v>
      </c>
      <c r="E65">
        <f>IF(Specification!U70/2=0,#N/A,Specification!U70/2)</f>
        <v>39.441355119065733</v>
      </c>
    </row>
    <row r="66" spans="1:5" x14ac:dyDescent="0.2">
      <c r="A66" t="e">
        <f>IF(-Specification!S71/2=0,#N/A,Specification!K71)</f>
        <v>#N/A</v>
      </c>
      <c r="B66" t="e">
        <f>IF(-Specification!S71/2=0,#N/A,-Specification!S71/2)</f>
        <v>#N/A</v>
      </c>
      <c r="C66" t="e">
        <f>IF(Specification!S71/2=0,#N/A,Specification!S71/2)</f>
        <v>#N/A</v>
      </c>
      <c r="D66" t="e">
        <f>IF(-Specification!U71/2=0,#N/A,-Specification!U71/2)</f>
        <v>#N/A</v>
      </c>
      <c r="E66" t="e">
        <f>IF(Specification!U71/2=0,#N/A,Specification!U71/2)</f>
        <v>#N/A</v>
      </c>
    </row>
    <row r="67" spans="1:5" x14ac:dyDescent="0.2">
      <c r="A67">
        <f>IF(-Specification!S72/2=0,#N/A,Specification!K72)</f>
        <v>60.407691109463961</v>
      </c>
      <c r="B67">
        <f>IF(-Specification!S72/2=0,#N/A,-Specification!S72/2)</f>
        <v>-51.575438314205819</v>
      </c>
      <c r="C67">
        <f>IF(Specification!S72/2=0,#N/A,Specification!S72/2)</f>
        <v>51.575438314205819</v>
      </c>
      <c r="D67">
        <f>IF(-Specification!U72/2=0,#N/A,-Specification!U72/2)</f>
        <v>-43.772912379413881</v>
      </c>
      <c r="E67">
        <f>IF(Specification!U72/2=0,#N/A,Specification!U72/2)</f>
        <v>43.772912379413881</v>
      </c>
    </row>
    <row r="68" spans="1:5" x14ac:dyDescent="0.2">
      <c r="A68" t="e">
        <f>IF(-Specification!S73/2=0,#N/A,Specification!K73)</f>
        <v>#N/A</v>
      </c>
      <c r="B68" t="e">
        <f>IF(-Specification!S73/2=0,#N/A,-Specification!S73/2)</f>
        <v>#N/A</v>
      </c>
      <c r="C68" t="e">
        <f>IF(Specification!S73/2=0,#N/A,Specification!S73/2)</f>
        <v>#N/A</v>
      </c>
      <c r="D68" t="e">
        <f>IF(-Specification!U73/2=0,#N/A,-Specification!U73/2)</f>
        <v>#N/A</v>
      </c>
      <c r="E68" t="e">
        <f>IF(Specification!U73/2=0,#N/A,Specification!U73/2)</f>
        <v>#N/A</v>
      </c>
    </row>
    <row r="69" spans="1:5" x14ac:dyDescent="0.2">
      <c r="A69">
        <f>IF(-Specification!S74/2=0,#N/A,Specification!K74)</f>
        <v>62.408672839549787</v>
      </c>
      <c r="B69">
        <f>IF(-Specification!S74/2=0,#N/A,-Specification!S74/2)</f>
        <v>-54.833464154791507</v>
      </c>
      <c r="C69">
        <f>IF(Specification!S74/2=0,#N/A,Specification!S74/2)</f>
        <v>54.833464154791507</v>
      </c>
      <c r="D69">
        <f>IF(-Specification!U74/2=0,#N/A,-Specification!U74/2)</f>
        <v>-47.436513351231298</v>
      </c>
      <c r="E69">
        <f>IF(Specification!U74/2=0,#N/A,Specification!U74/2)</f>
        <v>47.436513351231298</v>
      </c>
    </row>
    <row r="70" spans="1:5" x14ac:dyDescent="0.2">
      <c r="A70" t="e">
        <f>IF(-Specification!S75/2=0,#N/A,Specification!K75)</f>
        <v>#N/A</v>
      </c>
      <c r="B70" t="e">
        <f>IF(-Specification!S75/2=0,#N/A,-Specification!S75/2)</f>
        <v>#N/A</v>
      </c>
      <c r="C70" t="e">
        <f>IF(Specification!S75/2=0,#N/A,Specification!S75/2)</f>
        <v>#N/A</v>
      </c>
      <c r="D70" t="e">
        <f>IF(-Specification!U75/2=0,#N/A,-Specification!U75/2)</f>
        <v>#N/A</v>
      </c>
      <c r="E70" t="e">
        <f>IF(Specification!U75/2=0,#N/A,Specification!U75/2)</f>
        <v>#N/A</v>
      </c>
    </row>
    <row r="71" spans="1:5" x14ac:dyDescent="0.2">
      <c r="A71">
        <f>IF(-Specification!S76/2=0,#N/A,Specification!K76)</f>
        <v>64.410654560505222</v>
      </c>
      <c r="B71">
        <f>IF(-Specification!S76/2=0,#N/A,-Specification!S76/2)</f>
        <v>-57.339606644727724</v>
      </c>
      <c r="C71">
        <f>IF(Specification!S76/2=0,#N/A,Specification!S76/2)</f>
        <v>57.339606644727724</v>
      </c>
      <c r="D71">
        <f>IF(-Specification!U76/2=0,#N/A,-Specification!U76/2)</f>
        <v>-50.580819524916045</v>
      </c>
      <c r="E71">
        <f>IF(Specification!U76/2=0,#N/A,Specification!U76/2)</f>
        <v>50.580819524916045</v>
      </c>
    </row>
    <row r="72" spans="1:5" x14ac:dyDescent="0.2">
      <c r="A72" t="e">
        <f>IF(-Specification!S77/2=0,#N/A,Specification!K77)</f>
        <v>#N/A</v>
      </c>
      <c r="B72" t="e">
        <f>IF(-Specification!S77/2=0,#N/A,-Specification!S77/2)</f>
        <v>#N/A</v>
      </c>
      <c r="C72" t="e">
        <f>IF(Specification!S77/2=0,#N/A,Specification!S77/2)</f>
        <v>#N/A</v>
      </c>
      <c r="D72" t="e">
        <f>IF(-Specification!U77/2=0,#N/A,-Specification!U77/2)</f>
        <v>#N/A</v>
      </c>
      <c r="E72" t="e">
        <f>IF(Specification!U77/2=0,#N/A,Specification!U77/2)</f>
        <v>#N/A</v>
      </c>
    </row>
    <row r="73" spans="1:5" x14ac:dyDescent="0.2">
      <c r="A73">
        <f>IF(-Specification!S78/2=0,#N/A,Specification!K78)</f>
        <v>66.411636290591034</v>
      </c>
      <c r="B73">
        <f>IF(-Specification!S78/2=0,#N/A,-Specification!S78/2)</f>
        <v>-57.339606644727724</v>
      </c>
      <c r="C73">
        <f>IF(Specification!S78/2=0,#N/A,Specification!S78/2)</f>
        <v>57.339606644727724</v>
      </c>
      <c r="D73">
        <f>IF(-Specification!U78/2=0,#N/A,-Specification!U78/2)</f>
        <v>-53.294929254398262</v>
      </c>
      <c r="E73">
        <f>IF(Specification!U78/2=0,#N/A,Specification!U78/2)</f>
        <v>53.294929254398262</v>
      </c>
    </row>
    <row r="74" spans="1:5" x14ac:dyDescent="0.2">
      <c r="A74" t="e">
        <f>IF(-Specification!S79/2=0,#N/A,Specification!K79)</f>
        <v>#N/A</v>
      </c>
      <c r="B74" t="e">
        <f>IF(-Specification!S79/2=0,#N/A,-Specification!S79/2)</f>
        <v>#N/A</v>
      </c>
      <c r="C74" t="e">
        <f>IF(Specification!S79/2=0,#N/A,Specification!S79/2)</f>
        <v>#N/A</v>
      </c>
      <c r="D74" t="e">
        <f>IF(-Specification!U79/2=0,#N/A,-Specification!U79/2)</f>
        <v>#N/A</v>
      </c>
      <c r="E74" t="e">
        <f>IF(Specification!U79/2=0,#N/A,Specification!U79/2)</f>
        <v>#N/A</v>
      </c>
    </row>
    <row r="75" spans="1:5" x14ac:dyDescent="0.2">
      <c r="A75">
        <f>IF(-Specification!S80/2=0,#N/A,Specification!K80)</f>
        <v>68.413618011546461</v>
      </c>
      <c r="B75">
        <f>IF(-Specification!S80/2=0,#N/A,-Specification!S80/2)</f>
        <v>-57.33</v>
      </c>
      <c r="C75">
        <f>IF(Specification!S80/2=0,#N/A,Specification!S80/2)</f>
        <v>57.33</v>
      </c>
      <c r="D75">
        <f>IF(-Specification!U80/2=0,#N/A,-Specification!U80/2)</f>
        <v>-55.642182554200218</v>
      </c>
      <c r="E75">
        <f>IF(Specification!U80/2=0,#N/A,Specification!U80/2)</f>
        <v>55.642182554200218</v>
      </c>
    </row>
    <row r="76" spans="1:5" x14ac:dyDescent="0.2">
      <c r="A76" t="e">
        <f>IF(-Specification!S81/2=0,#N/A,Specification!K81)</f>
        <v>#N/A</v>
      </c>
      <c r="B76" t="e">
        <f>IF(-Specification!S81/2=0,#N/A,-Specification!S81/2)</f>
        <v>#N/A</v>
      </c>
      <c r="C76" t="e">
        <f>IF(Specification!S81/2=0,#N/A,Specification!S81/2)</f>
        <v>#N/A</v>
      </c>
      <c r="D76" t="e">
        <f>IF(-Specification!U81/2=0,#N/A,-Specification!U81/2)</f>
        <v>#N/A</v>
      </c>
      <c r="E76" t="e">
        <f>IF(Specification!U81/2=0,#N/A,Specification!U81/2)</f>
        <v>#N/A</v>
      </c>
    </row>
    <row r="77" spans="1:5" x14ac:dyDescent="0.2">
      <c r="A77">
        <f>IF(-Specification!S82/2=0,#N/A,Specification!K82)</f>
        <v>70.414599741632273</v>
      </c>
      <c r="B77">
        <f>IF(-Specification!S82/2=0,#N/A,-Specification!S82/2)</f>
        <v>-57.33</v>
      </c>
      <c r="C77">
        <f>IF(Specification!S82/2=0,#N/A,Specification!S82/2)</f>
        <v>57.33</v>
      </c>
      <c r="D77">
        <f>IF(-Specification!U82/2=0,#N/A,-Specification!U82/2)</f>
        <v>-55.642182554200218</v>
      </c>
      <c r="E77">
        <f>IF(Specification!U82/2=0,#N/A,Specification!U82/2)</f>
        <v>55.642182554200218</v>
      </c>
    </row>
    <row r="78" spans="1:5" x14ac:dyDescent="0.2">
      <c r="A78" t="e">
        <f>IF(-Specification!S83/2=0,#N/A,Specification!K83)</f>
        <v>#N/A</v>
      </c>
      <c r="B78" t="e">
        <f>IF(-Specification!S83/2=0,#N/A,-Specification!S83/2)</f>
        <v>#N/A</v>
      </c>
      <c r="C78" t="e">
        <f>IF(Specification!S83/2=0,#N/A,Specification!S83/2)</f>
        <v>#N/A</v>
      </c>
      <c r="D78" t="e">
        <f>IF(-Specification!U83/2=0,#N/A,-Specification!U83/2)</f>
        <v>#N/A</v>
      </c>
      <c r="E78" t="e">
        <f>IF(Specification!U83/2=0,#N/A,Specification!U83/2)</f>
        <v>#N/A</v>
      </c>
    </row>
    <row r="79" spans="1:5" x14ac:dyDescent="0.2">
      <c r="A79">
        <f>IF(-Specification!S84/2=0,#N/A,Specification!K84)</f>
        <v>72.4165814625877</v>
      </c>
      <c r="B79">
        <f>IF(-Specification!S84/2=0,#N/A,-Specification!S84/2)</f>
        <v>-57.33</v>
      </c>
      <c r="C79">
        <f>IF(Specification!S84/2=0,#N/A,Specification!S84/2)</f>
        <v>57.33</v>
      </c>
      <c r="D79">
        <f>IF(-Specification!U84/2=0,#N/A,-Specification!U84/2)</f>
        <v>-55.642182554200218</v>
      </c>
      <c r="E79">
        <f>IF(Specification!U84/2=0,#N/A,Specification!U84/2)</f>
        <v>55.642182554200218</v>
      </c>
    </row>
    <row r="80" spans="1:5" x14ac:dyDescent="0.2">
      <c r="A80" t="e">
        <f>IF(-Specification!S85/2=0,#N/A,Specification!K85)</f>
        <v>#N/A</v>
      </c>
      <c r="B80" t="e">
        <f>IF(-Specification!S85/2=0,#N/A,-Specification!S85/2)</f>
        <v>#N/A</v>
      </c>
      <c r="C80" t="e">
        <f>IF(Specification!S85/2=0,#N/A,Specification!S85/2)</f>
        <v>#N/A</v>
      </c>
      <c r="D80" t="e">
        <f>IF(-Specification!U85/2=0,#N/A,-Specification!U85/2)</f>
        <v>#N/A</v>
      </c>
      <c r="E80" t="e">
        <f>IF(Specification!U85/2=0,#N/A,Specification!U85/2)</f>
        <v>#N/A</v>
      </c>
    </row>
    <row r="81" spans="1:5" x14ac:dyDescent="0.2">
      <c r="A81">
        <f>IF(-Specification!S86/2=0,#N/A,Specification!K86)</f>
        <v>74.417563192673512</v>
      </c>
      <c r="B81">
        <f>IF(-Specification!S86/2=0,#N/A,-Specification!S86/2)</f>
        <v>-57.33</v>
      </c>
      <c r="C81">
        <f>IF(Specification!S86/2=0,#N/A,Specification!S86/2)</f>
        <v>57.33</v>
      </c>
      <c r="D81">
        <f>IF(-Specification!U86/2=0,#N/A,-Specification!U86/2)</f>
        <v>-55.642182554200218</v>
      </c>
      <c r="E81">
        <f>IF(Specification!U86/2=0,#N/A,Specification!U86/2)</f>
        <v>55.642182554200218</v>
      </c>
    </row>
    <row r="82" spans="1:5" x14ac:dyDescent="0.2">
      <c r="A82" t="e">
        <f>IF(-Specification!S87/2=0,#N/A,Specification!K87)</f>
        <v>#N/A</v>
      </c>
      <c r="B82" t="e">
        <f>IF(-Specification!S87/2=0,#N/A,-Specification!S87/2)</f>
        <v>#N/A</v>
      </c>
      <c r="C82" t="e">
        <f>IF(Specification!S87/2=0,#N/A,Specification!S87/2)</f>
        <v>#N/A</v>
      </c>
      <c r="D82" t="e">
        <f>IF(-Specification!U87/2=0,#N/A,-Specification!U87/2)</f>
        <v>#N/A</v>
      </c>
      <c r="E82" t="e">
        <f>IF(Specification!U87/2=0,#N/A,Specification!U87/2)</f>
        <v>#N/A</v>
      </c>
    </row>
    <row r="83" spans="1:5" x14ac:dyDescent="0.2">
      <c r="A83">
        <f>IF(-Specification!S88/2=0,#N/A,Specification!K88)</f>
        <v>76.41954491362894</v>
      </c>
      <c r="B83">
        <f>IF(-Specification!S88/2=0,#N/A,-Specification!S88/2)</f>
        <v>-57.33</v>
      </c>
      <c r="C83">
        <f>IF(Specification!S88/2=0,#N/A,Specification!S88/2)</f>
        <v>57.33</v>
      </c>
      <c r="D83">
        <f>IF(-Specification!U88/2=0,#N/A,-Specification!U88/2)</f>
        <v>-55.642182554200218</v>
      </c>
      <c r="E83">
        <f>IF(Specification!U88/2=0,#N/A,Specification!U88/2)</f>
        <v>55.642182554200218</v>
      </c>
    </row>
    <row r="84" spans="1:5" x14ac:dyDescent="0.2">
      <c r="A84" t="e">
        <f>IF(-Specification!S89/2=0,#N/A,Specification!K89)</f>
        <v>#N/A</v>
      </c>
      <c r="B84" t="e">
        <f>IF(-Specification!S89/2=0,#N/A,-Specification!S89/2)</f>
        <v>#N/A</v>
      </c>
      <c r="C84" t="e">
        <f>IF(Specification!S89/2=0,#N/A,Specification!S89/2)</f>
        <v>#N/A</v>
      </c>
      <c r="D84" t="e">
        <f>IF(-Specification!U89/2=0,#N/A,-Specification!U89/2)</f>
        <v>#N/A</v>
      </c>
      <c r="E84" t="e">
        <f>IF(Specification!U89/2=0,#N/A,Specification!U89/2)</f>
        <v>#N/A</v>
      </c>
    </row>
    <row r="85" spans="1:5" x14ac:dyDescent="0.2">
      <c r="A85">
        <f>IF(-Specification!S90/2=0,#N/A,Specification!K90)</f>
        <v>78.420526643714751</v>
      </c>
      <c r="B85">
        <f>IF(-Specification!S90/2=0,#N/A,-Specification!S90/2)</f>
        <v>-57.33</v>
      </c>
      <c r="C85">
        <f>IF(Specification!S90/2=0,#N/A,Specification!S90/2)</f>
        <v>57.33</v>
      </c>
      <c r="D85">
        <f>IF(-Specification!U90/2=0,#N/A,-Specification!U90/2)</f>
        <v>-55.642182554200218</v>
      </c>
      <c r="E85">
        <f>IF(Specification!U90/2=0,#N/A,Specification!U90/2)</f>
        <v>55.642182554200218</v>
      </c>
    </row>
    <row r="86" spans="1:5" x14ac:dyDescent="0.2">
      <c r="A86" t="e">
        <f>IF(-Specification!S91/2=0,#N/A,Specification!K91)</f>
        <v>#N/A</v>
      </c>
      <c r="B86" t="e">
        <f>IF(-Specification!S91/2=0,#N/A,-Specification!S91/2)</f>
        <v>#N/A</v>
      </c>
      <c r="C86" t="e">
        <f>IF(Specification!S91/2=0,#N/A,Specification!S91/2)</f>
        <v>#N/A</v>
      </c>
      <c r="D86" t="e">
        <f>IF(-Specification!U91/2=0,#N/A,-Specification!U91/2)</f>
        <v>#N/A</v>
      </c>
      <c r="E86" t="e">
        <f>IF(Specification!U91/2=0,#N/A,Specification!U91/2)</f>
        <v>#N/A</v>
      </c>
    </row>
    <row r="87" spans="1:5" x14ac:dyDescent="0.2">
      <c r="A87">
        <f>IF(-Specification!S92/2=0,#N/A,Specification!K92)</f>
        <v>80.422508364670179</v>
      </c>
      <c r="B87">
        <f>IF(-Specification!S92/2=0,#N/A,-Specification!S92/2)</f>
        <v>-57.33</v>
      </c>
      <c r="C87">
        <f>IF(Specification!S92/2=0,#N/A,Specification!S92/2)</f>
        <v>57.33</v>
      </c>
      <c r="D87">
        <f>IF(-Specification!U92/2=0,#N/A,-Specification!U92/2)</f>
        <v>-55.642182554200218</v>
      </c>
      <c r="E87">
        <f>IF(Specification!U92/2=0,#N/A,Specification!U92/2)</f>
        <v>55.642182554200218</v>
      </c>
    </row>
    <row r="88" spans="1:5" x14ac:dyDescent="0.2">
      <c r="A88" t="e">
        <f>IF(-Specification!S93/2=0,#N/A,Specification!K93)</f>
        <v>#N/A</v>
      </c>
      <c r="B88" t="e">
        <f>IF(-Specification!S93/2=0,#N/A,-Specification!S93/2)</f>
        <v>#N/A</v>
      </c>
      <c r="C88" t="e">
        <f>IF(Specification!S93/2=0,#N/A,Specification!S93/2)</f>
        <v>#N/A</v>
      </c>
      <c r="D88" t="e">
        <f>IF(-Specification!U93/2=0,#N/A,-Specification!U93/2)</f>
        <v>#N/A</v>
      </c>
      <c r="E88" t="e">
        <f>IF(Specification!U93/2=0,#N/A,Specification!U93/2)</f>
        <v>#N/A</v>
      </c>
    </row>
    <row r="89" spans="1:5" x14ac:dyDescent="0.2">
      <c r="A89">
        <f>IF(-Specification!S94/2=0,#N/A,Specification!K94)</f>
        <v>82.423490094755991</v>
      </c>
      <c r="B89">
        <f>IF(-Specification!S94/2=0,#N/A,-Specification!S94/2)</f>
        <v>-57.33</v>
      </c>
      <c r="C89">
        <f>IF(Specification!S94/2=0,#N/A,Specification!S94/2)</f>
        <v>57.33</v>
      </c>
      <c r="D89">
        <f>IF(-Specification!U94/2=0,#N/A,-Specification!U94/2)</f>
        <v>-55.642182554200218</v>
      </c>
      <c r="E89">
        <f>IF(Specification!U94/2=0,#N/A,Specification!U94/2)</f>
        <v>55.642182554200218</v>
      </c>
    </row>
    <row r="90" spans="1:5" x14ac:dyDescent="0.2">
      <c r="A90" t="e">
        <f>IF(-Specification!S95/2=0,#N/A,Specification!K95)</f>
        <v>#N/A</v>
      </c>
      <c r="B90" t="e">
        <f>IF(-Specification!S95/2=0,#N/A,-Specification!S95/2)</f>
        <v>#N/A</v>
      </c>
      <c r="C90" t="e">
        <f>IF(Specification!S95/2=0,#N/A,Specification!S95/2)</f>
        <v>#N/A</v>
      </c>
      <c r="D90" t="e">
        <f>IF(-Specification!U95/2=0,#N/A,-Specification!U95/2)</f>
        <v>#N/A</v>
      </c>
      <c r="E90" t="e">
        <f>IF(Specification!U95/2=0,#N/A,Specification!U95/2)</f>
        <v>#N/A</v>
      </c>
    </row>
    <row r="91" spans="1:5" x14ac:dyDescent="0.2">
      <c r="A91">
        <f>IF(-Specification!S96/2=0,#N/A,Specification!K96)</f>
        <v>84.425471815711418</v>
      </c>
      <c r="B91">
        <f>IF(-Specification!S96/2=0,#N/A,-Specification!S96/2)</f>
        <v>-57.33</v>
      </c>
      <c r="C91">
        <f>IF(Specification!S96/2=0,#N/A,Specification!S96/2)</f>
        <v>57.33</v>
      </c>
      <c r="D91">
        <f>IF(-Specification!U96/2=0,#N/A,-Specification!U96/2)</f>
        <v>-55.642182554200218</v>
      </c>
      <c r="E91">
        <f>IF(Specification!U96/2=0,#N/A,Specification!U96/2)</f>
        <v>55.642182554200218</v>
      </c>
    </row>
    <row r="92" spans="1:5" x14ac:dyDescent="0.2">
      <c r="A92" t="e">
        <f>IF(-Specification!S97/2=0,#N/A,Specification!K97)</f>
        <v>#N/A</v>
      </c>
      <c r="B92" t="e">
        <f>IF(-Specification!S97/2=0,#N/A,-Specification!S97/2)</f>
        <v>#N/A</v>
      </c>
      <c r="C92" t="e">
        <f>IF(Specification!S97/2=0,#N/A,Specification!S97/2)</f>
        <v>#N/A</v>
      </c>
      <c r="D92" t="e">
        <f>IF(-Specification!U97/2=0,#N/A,-Specification!U97/2)</f>
        <v>#N/A</v>
      </c>
      <c r="E92" t="e">
        <f>IF(Specification!U97/2=0,#N/A,Specification!U97/2)</f>
        <v>#N/A</v>
      </c>
    </row>
    <row r="93" spans="1:5" x14ac:dyDescent="0.2">
      <c r="A93">
        <f>IF(-Specification!S98/2=0,#N/A,Specification!K98)</f>
        <v>86.42645354579723</v>
      </c>
      <c r="B93">
        <f>IF(-Specification!S98/2=0,#N/A,-Specification!S98/2)</f>
        <v>-57.33</v>
      </c>
      <c r="C93">
        <f>IF(Specification!S98/2=0,#N/A,Specification!S98/2)</f>
        <v>57.33</v>
      </c>
      <c r="D93">
        <f>IF(-Specification!U98/2=0,#N/A,-Specification!U98/2)</f>
        <v>-55.642182554200218</v>
      </c>
      <c r="E93">
        <f>IF(Specification!U98/2=0,#N/A,Specification!U98/2)</f>
        <v>55.642182554200218</v>
      </c>
    </row>
    <row r="94" spans="1:5" x14ac:dyDescent="0.2">
      <c r="A94" t="e">
        <f>IF(-Specification!S99/2=0,#N/A,Specification!K99)</f>
        <v>#N/A</v>
      </c>
      <c r="B94" t="e">
        <f>IF(-Specification!S99/2=0,#N/A,-Specification!S99/2)</f>
        <v>#N/A</v>
      </c>
      <c r="C94" t="e">
        <f>IF(Specification!S99/2=0,#N/A,Specification!S99/2)</f>
        <v>#N/A</v>
      </c>
      <c r="D94" t="e">
        <f>IF(-Specification!U99/2=0,#N/A,-Specification!U99/2)</f>
        <v>#N/A</v>
      </c>
      <c r="E94" t="e">
        <f>IF(Specification!U99/2=0,#N/A,Specification!U99/2)</f>
        <v>#N/A</v>
      </c>
    </row>
    <row r="95" spans="1:5" x14ac:dyDescent="0.2">
      <c r="A95">
        <f>IF(-Specification!S100/2=0,#N/A,Specification!K100)</f>
        <v>88.428435266752658</v>
      </c>
      <c r="B95">
        <f>IF(-Specification!S100/2=0,#N/A,-Specification!S100/2)</f>
        <v>-57.33</v>
      </c>
      <c r="C95">
        <f>IF(Specification!S100/2=0,#N/A,Specification!S100/2)</f>
        <v>57.33</v>
      </c>
      <c r="D95">
        <f>IF(-Specification!U100/2=0,#N/A,-Specification!U100/2)</f>
        <v>-55.642182554200218</v>
      </c>
      <c r="E95">
        <f>IF(Specification!U100/2=0,#N/A,Specification!U100/2)</f>
        <v>55.642182554200218</v>
      </c>
    </row>
    <row r="96" spans="1:5" x14ac:dyDescent="0.2">
      <c r="A96" t="e">
        <f>IF(-Specification!S101/2=0,#N/A,Specification!K101)</f>
        <v>#N/A</v>
      </c>
      <c r="B96" t="e">
        <f>IF(-Specification!S101/2=0,#N/A,-Specification!S101/2)</f>
        <v>#N/A</v>
      </c>
      <c r="C96" t="e">
        <f>IF(Specification!S101/2=0,#N/A,Specification!S101/2)</f>
        <v>#N/A</v>
      </c>
      <c r="D96" t="e">
        <f>IF(-Specification!U101/2=0,#N/A,-Specification!U101/2)</f>
        <v>#N/A</v>
      </c>
      <c r="E96" t="e">
        <f>IF(Specification!U101/2=0,#N/A,Specification!U101/2)</f>
        <v>#N/A</v>
      </c>
    </row>
    <row r="97" spans="1:5" x14ac:dyDescent="0.2">
      <c r="A97">
        <f>IF(-Specification!S102/2=0,#N/A,Specification!K102)</f>
        <v>90.429416996838469</v>
      </c>
      <c r="B97">
        <f>IF(-Specification!S102/2=0,#N/A,-Specification!S102/2)</f>
        <v>-57.33</v>
      </c>
      <c r="C97">
        <f>IF(Specification!S102/2=0,#N/A,Specification!S102/2)</f>
        <v>57.33</v>
      </c>
      <c r="D97">
        <f>IF(-Specification!U102/2=0,#N/A,-Specification!U102/2)</f>
        <v>-55.642182554200218</v>
      </c>
      <c r="E97">
        <f>IF(Specification!U102/2=0,#N/A,Specification!U102/2)</f>
        <v>55.642182554200218</v>
      </c>
    </row>
    <row r="98" spans="1:5" x14ac:dyDescent="0.2">
      <c r="A98" t="e">
        <f>IF(-Specification!S103/2=0,#N/A,Specification!K103)</f>
        <v>#N/A</v>
      </c>
      <c r="B98" t="e">
        <f>IF(-Specification!S103/2=0,#N/A,-Specification!S103/2)</f>
        <v>#N/A</v>
      </c>
      <c r="C98" t="e">
        <f>IF(Specification!S103/2=0,#N/A,Specification!S103/2)</f>
        <v>#N/A</v>
      </c>
      <c r="D98" t="e">
        <f>IF(-Specification!U103/2=0,#N/A,-Specification!U103/2)</f>
        <v>#N/A</v>
      </c>
      <c r="E98" t="e">
        <f>IF(Specification!U103/2=0,#N/A,Specification!U103/2)</f>
        <v>#N/A</v>
      </c>
    </row>
    <row r="99" spans="1:5" x14ac:dyDescent="0.2">
      <c r="A99">
        <f>IF(-Specification!S104/2=0,#N/A,Specification!K104)</f>
        <v>92.431398717793897</v>
      </c>
      <c r="B99">
        <f>IF(-Specification!S104/2=0,#N/A,-Specification!S104/2)</f>
        <v>-57.33</v>
      </c>
      <c r="C99">
        <f>IF(Specification!S104/2=0,#N/A,Specification!S104/2)</f>
        <v>57.33</v>
      </c>
      <c r="D99">
        <f>IF(-Specification!U104/2=0,#N/A,-Specification!U104/2)</f>
        <v>-55.642182554200218</v>
      </c>
      <c r="E99">
        <f>IF(Specification!U104/2=0,#N/A,Specification!U104/2)</f>
        <v>55.642182554200218</v>
      </c>
    </row>
    <row r="100" spans="1:5" x14ac:dyDescent="0.2">
      <c r="A100">
        <f>IF(-Specification!S105/2=0,#N/A,Specification!K105)</f>
        <v>93.495389003056928</v>
      </c>
      <c r="B100">
        <f>IF(-Specification!S105/2=0,#N/A,-Specification!S105/2)</f>
        <v>-57.33</v>
      </c>
      <c r="C100">
        <f>IF(Specification!S105/2=0,#N/A,Specification!S105/2)</f>
        <v>57.33</v>
      </c>
      <c r="D100">
        <f>IF(-Specification!U105/2=0,#N/A,-Specification!U105/2)</f>
        <v>-55.63905080966066</v>
      </c>
      <c r="E100">
        <f>IF(Specification!U105/2=0,#N/A,Specification!U105/2)</f>
        <v>55.63905080966066</v>
      </c>
    </row>
    <row r="101" spans="1:5" x14ac:dyDescent="0.2">
      <c r="A101" t="e">
        <f>IF(-Specification!S106/2=0,#N/A,Specification!K106)</f>
        <v>#N/A</v>
      </c>
      <c r="B101" t="e">
        <f>IF(-Specification!S106/2=0,#N/A,-Specification!S106/2)</f>
        <v>#N/A</v>
      </c>
      <c r="C101" t="e">
        <f>IF(Specification!S106/2=0,#N/A,Specification!S106/2)</f>
        <v>#N/A</v>
      </c>
      <c r="D101" t="e">
        <f>IF(-Specification!U106/2=0,#N/A,-Specification!U106/2)</f>
        <v>#N/A</v>
      </c>
      <c r="E101" t="e">
        <f>IF(Specification!U106/2=0,#N/A,Specification!U106/2)</f>
        <v>#N/A</v>
      </c>
    </row>
    <row r="102" spans="1:5" x14ac:dyDescent="0.2">
      <c r="A102">
        <f>IF(-Specification!S107/2=0,#N/A,Specification!K107)</f>
        <v>94.432380447879723</v>
      </c>
      <c r="B102">
        <f>IF(-Specification!S107/2=0,#N/A,-Specification!S107/2)</f>
        <v>-57.33</v>
      </c>
      <c r="C102">
        <f>IF(Specification!S107/2=0,#N/A,Specification!S107/2)</f>
        <v>57.33</v>
      </c>
      <c r="D102">
        <f>IF(-Specification!U107/2=0,#N/A,-Specification!U107/2)</f>
        <v>-54.581467624293744</v>
      </c>
      <c r="E102">
        <f>IF(Specification!U107/2=0,#N/A,Specification!U107/2)</f>
        <v>54.581467624293744</v>
      </c>
    </row>
    <row r="103" spans="1:5" x14ac:dyDescent="0.2">
      <c r="A103" t="e">
        <f>IF(-Specification!S108/2=0,#N/A,Specification!K108)</f>
        <v>#N/A</v>
      </c>
      <c r="B103" t="e">
        <f>IF(-Specification!S108/2=0,#N/A,-Specification!S108/2)</f>
        <v>#N/A</v>
      </c>
      <c r="C103" t="e">
        <f>IF(Specification!S108/2=0,#N/A,Specification!S108/2)</f>
        <v>#N/A</v>
      </c>
      <c r="D103" t="e">
        <f>IF(-Specification!U108/2=0,#N/A,-Specification!U108/2)</f>
        <v>#N/A</v>
      </c>
      <c r="E103" t="e">
        <f>IF(Specification!U108/2=0,#N/A,Specification!U108/2)</f>
        <v>#N/A</v>
      </c>
    </row>
    <row r="104" spans="1:5" x14ac:dyDescent="0.2">
      <c r="A104">
        <f>IF(-Specification!S109/2=0,#N/A,Specification!K109)</f>
        <v>96.43436216883515</v>
      </c>
      <c r="B104">
        <f>IF(-Specification!S109/2=0,#N/A,-Specification!S109/2)</f>
        <v>-57.33</v>
      </c>
      <c r="C104">
        <f>IF(Specification!S109/2=0,#N/A,Specification!S109/2)</f>
        <v>57.33</v>
      </c>
      <c r="D104">
        <f>IF(-Specification!U109/2=0,#N/A,-Specification!U109/2)</f>
        <v>-52.066272927651568</v>
      </c>
      <c r="E104">
        <f>IF(Specification!U109/2=0,#N/A,Specification!U109/2)</f>
        <v>52.066272927651568</v>
      </c>
    </row>
    <row r="105" spans="1:5" x14ac:dyDescent="0.2">
      <c r="A105" t="e">
        <f>IF(-Specification!S110/2=0,#N/A,Specification!K110)</f>
        <v>#N/A</v>
      </c>
      <c r="B105" t="e">
        <f>IF(-Specification!S110/2=0,#N/A,-Specification!S110/2)</f>
        <v>#N/A</v>
      </c>
      <c r="C105" t="e">
        <f>IF(Specification!S110/2=0,#N/A,Specification!S110/2)</f>
        <v>#N/A</v>
      </c>
      <c r="D105" t="e">
        <f>IF(-Specification!U110/2=0,#N/A,-Specification!U110/2)</f>
        <v>#N/A</v>
      </c>
      <c r="E105" t="e">
        <f>IF(Specification!U110/2=0,#N/A,Specification!U110/2)</f>
        <v>#N/A</v>
      </c>
    </row>
    <row r="106" spans="1:5" x14ac:dyDescent="0.2">
      <c r="A106">
        <f>IF(-Specification!S111/2=0,#N/A,Specification!K111)</f>
        <v>98.435343898920962</v>
      </c>
      <c r="B106">
        <f>IF(-Specification!S111/2=0,#N/A,-Specification!S111/2)</f>
        <v>-57.33</v>
      </c>
      <c r="C106">
        <f>IF(Specification!S111/2=0,#N/A,Specification!S111/2)</f>
        <v>57.33</v>
      </c>
      <c r="D106">
        <f>IF(-Specification!U111/2=0,#N/A,-Specification!U111/2)</f>
        <v>-49.159724886314393</v>
      </c>
      <c r="E106">
        <f>IF(Specification!U111/2=0,#N/A,Specification!U111/2)</f>
        <v>49.159724886314393</v>
      </c>
    </row>
    <row r="107" spans="1:5" x14ac:dyDescent="0.2">
      <c r="A107" t="e">
        <f>IF(-Specification!S112/2=0,#N/A,Specification!K112)</f>
        <v>#N/A</v>
      </c>
      <c r="B107" t="e">
        <f>IF(-Specification!S112/2=0,#N/A,-Specification!S112/2)</f>
        <v>#N/A</v>
      </c>
      <c r="C107" t="e">
        <f>IF(Specification!S112/2=0,#N/A,Specification!S112/2)</f>
        <v>#N/A</v>
      </c>
      <c r="D107" t="e">
        <f>IF(-Specification!U112/2=0,#N/A,-Specification!U112/2)</f>
        <v>#N/A</v>
      </c>
      <c r="E107" t="e">
        <f>IF(Specification!U112/2=0,#N/A,Specification!U112/2)</f>
        <v>#N/A</v>
      </c>
    </row>
    <row r="108" spans="1:5" x14ac:dyDescent="0.2">
      <c r="A108">
        <f>IF(-Specification!S113/2=0,#N/A,Specification!K113)</f>
        <v>100.43732561987639</v>
      </c>
      <c r="B108">
        <f>IF(-Specification!S113/2=0,#N/A,-Specification!S113/2)</f>
        <v>-57.33</v>
      </c>
      <c r="C108">
        <f>IF(Specification!S113/2=0,#N/A,Specification!S113/2)</f>
        <v>57.33</v>
      </c>
      <c r="D108">
        <f>IF(-Specification!U113/2=0,#N/A,-Specification!U113/2)</f>
        <v>-45.784144196391686</v>
      </c>
      <c r="E108">
        <f>IF(Specification!U113/2=0,#N/A,Specification!U113/2)</f>
        <v>45.784144196391686</v>
      </c>
    </row>
    <row r="109" spans="1:5" x14ac:dyDescent="0.2">
      <c r="A109" t="e">
        <f>IF(-Specification!S114/2=0,#N/A,Specification!K114)</f>
        <v>#N/A</v>
      </c>
      <c r="B109" t="e">
        <f>IF(-Specification!S114/2=0,#N/A,-Specification!S114/2)</f>
        <v>#N/A</v>
      </c>
      <c r="C109" t="e">
        <f>IF(Specification!S114/2=0,#N/A,Specification!S114/2)</f>
        <v>#N/A</v>
      </c>
      <c r="D109" t="e">
        <f>IF(-Specification!U114/2=0,#N/A,-Specification!U114/2)</f>
        <v>#N/A</v>
      </c>
      <c r="E109" t="e">
        <f>IF(Specification!U114/2=0,#N/A,Specification!U114/2)</f>
        <v>#N/A</v>
      </c>
    </row>
    <row r="110" spans="1:5" x14ac:dyDescent="0.2">
      <c r="A110">
        <f>IF(-Specification!S115/2=0,#N/A,Specification!K115)</f>
        <v>102.4383073499622</v>
      </c>
      <c r="B110">
        <f>IF(-Specification!S115/2=0,#N/A,-Specification!S115/2)</f>
        <v>-57.33</v>
      </c>
      <c r="C110">
        <f>IF(Specification!S115/2=0,#N/A,Specification!S115/2)</f>
        <v>57.33</v>
      </c>
      <c r="D110">
        <f>IF(-Specification!U115/2=0,#N/A,-Specification!U115/2)</f>
        <v>-41.829951874116361</v>
      </c>
      <c r="E110">
        <f>IF(Specification!U115/2=0,#N/A,Specification!U115/2)</f>
        <v>41.829951874116361</v>
      </c>
    </row>
    <row r="111" spans="1:5" x14ac:dyDescent="0.2">
      <c r="A111">
        <f>IF(-Specification!S116/2=0,#N/A,Specification!K116)</f>
        <v>104.49528856874608</v>
      </c>
      <c r="B111">
        <f>IF(-Specification!S116/2=0,#N/A,-Specification!S116/2)</f>
        <v>-57.33</v>
      </c>
      <c r="C111">
        <f>IF(Specification!S116/2=0,#N/A,Specification!S116/2)</f>
        <v>57.33</v>
      </c>
      <c r="D111">
        <f>IF(-Specification!U116/2=0,#N/A,-Specification!U116/2)</f>
        <v>-36.96477179263416</v>
      </c>
      <c r="E111">
        <f>IF(Specification!U116/2=0,#N/A,Specification!U116/2)</f>
        <v>36.96477179263416</v>
      </c>
    </row>
    <row r="112" spans="1:5" x14ac:dyDescent="0.2">
      <c r="A112" t="e">
        <f>IF(-Specification!S117/2=0,#N/A,Specification!K117)</f>
        <v>#N/A</v>
      </c>
      <c r="B112" t="e">
        <f>IF(-Specification!S117/2=0,#N/A,-Specification!S117/2)</f>
        <v>#N/A</v>
      </c>
      <c r="C112" t="e">
        <f>IF(Specification!S117/2=0,#N/A,Specification!S117/2)</f>
        <v>#N/A</v>
      </c>
      <c r="D112" t="e">
        <f>IF(-Specification!U117/2=0,#N/A,-Specification!U117/2)</f>
        <v>#N/A</v>
      </c>
      <c r="E112" t="e">
        <f>IF(Specification!U117/2=0,#N/A,Specification!U117/2)</f>
        <v>#N/A</v>
      </c>
    </row>
    <row r="113" spans="1:5" x14ac:dyDescent="0.2">
      <c r="A113">
        <f>IF(-Specification!S118/2=0,#N/A,Specification!K118)</f>
        <v>104.81528564702067</v>
      </c>
      <c r="B113">
        <f>IF(-Specification!S118/2=0,#N/A,-Specification!S118/2)</f>
        <v>-57.33</v>
      </c>
      <c r="C113">
        <f>IF(Specification!S118/2=0,#N/A,Specification!S118/2)</f>
        <v>57.33</v>
      </c>
      <c r="D113">
        <f>IF(-Specification!U118/2=0,#N/A,-Specification!U118/2)</f>
        <v>-36.945</v>
      </c>
      <c r="E113">
        <f>IF(Specification!U118/2=0,#N/A,Specification!U118/2)</f>
        <v>36.945</v>
      </c>
    </row>
    <row r="114" spans="1:5" x14ac:dyDescent="0.2">
      <c r="A114" t="e">
        <f>IF(-Specification!S119/2=0,#N/A,Specification!K119)</f>
        <v>#N/A</v>
      </c>
      <c r="B114" t="e">
        <f>IF(-Specification!S119/2=0,#N/A,-Specification!S119/2)</f>
        <v>#N/A</v>
      </c>
      <c r="C114" t="e">
        <f>IF(Specification!S119/2=0,#N/A,Specification!S119/2)</f>
        <v>#N/A</v>
      </c>
      <c r="D114" t="e">
        <f>IF(-Specification!U119/2=0,#N/A,-Specification!U119/2)</f>
        <v>#N/A</v>
      </c>
      <c r="E114" t="e">
        <f>IF(Specification!U119/2=0,#N/A,Specification!U119/2)</f>
        <v>#N/A</v>
      </c>
    </row>
    <row r="115" spans="1:5" x14ac:dyDescent="0.2">
      <c r="A115">
        <f>IF(-Specification!S120/2=0,#N/A,Specification!K120)</f>
        <v>105.71499908696082</v>
      </c>
      <c r="B115">
        <f>IF(-Specification!S120/2=0,#N/A,-Specification!S120/2)</f>
        <v>-57.33</v>
      </c>
      <c r="C115">
        <f>IF(Specification!S120/2=0,#N/A,Specification!S120/2)</f>
        <v>57.33</v>
      </c>
      <c r="D115">
        <f>IF(-Specification!U120/2=0,#N/A,-Specification!U120/2)</f>
        <v>-36.945</v>
      </c>
      <c r="E115">
        <f>IF(Specification!U120/2=0,#N/A,Specification!U120/2)</f>
        <v>36.945</v>
      </c>
    </row>
    <row r="116" spans="1:5" x14ac:dyDescent="0.2">
      <c r="A116" t="e">
        <f>IF(-Specification!S121/2=0,#N/A,Specification!K121)</f>
        <v>#N/A</v>
      </c>
      <c r="B116" t="e">
        <f>IF(-Specification!S121/2=0,#N/A,-Specification!S121/2)</f>
        <v>#N/A</v>
      </c>
      <c r="C116" t="e">
        <f>IF(Specification!S121/2=0,#N/A,Specification!S121/2)</f>
        <v>#N/A</v>
      </c>
      <c r="D116" t="e">
        <f>IF(-Specification!U121/2=0,#N/A,-Specification!U121/2)</f>
        <v>#N/A</v>
      </c>
      <c r="E116" t="e">
        <f>IF(Specification!U121/2=0,#N/A,Specification!U121/2)</f>
        <v>#N/A</v>
      </c>
    </row>
    <row r="117" spans="1:5" x14ac:dyDescent="0.2">
      <c r="A117">
        <f>IF(-Specification!S122/2=0,#N/A,Specification!K122)</f>
        <v>106.51699176438652</v>
      </c>
      <c r="B117">
        <f>IF(-Specification!S122/2=0,#N/A,-Specification!S122/2)</f>
        <v>-57.33</v>
      </c>
      <c r="C117">
        <f>IF(Specification!S122/2=0,#N/A,Specification!S122/2)</f>
        <v>57.33</v>
      </c>
      <c r="D117">
        <f>IF(-Specification!U122/2=0,#N/A,-Specification!U122/2)</f>
        <v>-36.945</v>
      </c>
      <c r="E117">
        <f>IF(Specification!U122/2=0,#N/A,Specification!U122/2)</f>
        <v>36.945</v>
      </c>
    </row>
    <row r="118" spans="1:5" x14ac:dyDescent="0.2">
      <c r="A118" t="e">
        <f>IF(-Specification!S123/2=0,#N/A,Specification!K123)</f>
        <v>#N/A</v>
      </c>
      <c r="B118" t="e">
        <f>IF(-Specification!S123/2=0,#N/A,-Specification!S123/2)</f>
        <v>#N/A</v>
      </c>
      <c r="C118" t="e">
        <f>IF(Specification!S123/2=0,#N/A,Specification!S123/2)</f>
        <v>#N/A</v>
      </c>
      <c r="D118" t="e">
        <f>IF(-Specification!U123/2=0,#N/A,-Specification!U123/2)</f>
        <v>#N/A</v>
      </c>
      <c r="E118" t="e">
        <f>IF(Specification!U123/2=0,#N/A,Specification!U123/2)</f>
        <v>#N/A</v>
      </c>
    </row>
    <row r="119" spans="1:5" x14ac:dyDescent="0.2">
      <c r="A119">
        <f>IF(-Specification!S124/2=0,#N/A,Specification!K124)</f>
        <v>108.61797258143315</v>
      </c>
      <c r="B119">
        <f>IF(-Specification!S124/2=0,#N/A,-Specification!S124/2)</f>
        <v>-57.33</v>
      </c>
      <c r="C119">
        <f>IF(Specification!S124/2=0,#N/A,Specification!S124/2)</f>
        <v>57.33</v>
      </c>
      <c r="D119">
        <f>IF(-Specification!U124/2=0,#N/A,-Specification!U124/2)</f>
        <v>-36.945</v>
      </c>
      <c r="E119">
        <f>IF(Specification!U124/2=0,#N/A,Specification!U124/2)</f>
        <v>36.945</v>
      </c>
    </row>
    <row r="120" spans="1:5" x14ac:dyDescent="0.2">
      <c r="A120" t="e">
        <f>IF(-Specification!S125/2=0,#N/A,Specification!K125)</f>
        <v>#N/A</v>
      </c>
      <c r="B120" t="e">
        <f>IF(-Specification!S125/2=0,#N/A,-Specification!S125/2)</f>
        <v>#N/A</v>
      </c>
      <c r="C120" t="e">
        <f>IF(Specification!S125/2=0,#N/A,Specification!S125/2)</f>
        <v>#N/A</v>
      </c>
      <c r="D120" t="e">
        <f>IF(-Specification!U125/2=0,#N/A,-Specification!U125/2)</f>
        <v>#N/A</v>
      </c>
      <c r="E120" t="e">
        <f>IF(Specification!U125/2=0,#N/A,Specification!U125/2)</f>
        <v>#N/A</v>
      </c>
    </row>
    <row r="121" spans="1:5" x14ac:dyDescent="0.2">
      <c r="A121">
        <f>IF(-Specification!S126/2=0,#N/A,Specification!K126)</f>
        <v>110.7199533893494</v>
      </c>
      <c r="B121">
        <f>IF(-Specification!S126/2=0,#N/A,-Specification!S126/2)</f>
        <v>-57.25</v>
      </c>
      <c r="C121">
        <f>IF(Specification!S126/2=0,#N/A,Specification!S126/2)</f>
        <v>57.25</v>
      </c>
      <c r="D121">
        <f>IF(-Specification!U126/2=0,#N/A,-Specification!U126/2)</f>
        <v>-36.945</v>
      </c>
      <c r="E121">
        <f>IF(Specification!U126/2=0,#N/A,Specification!U126/2)</f>
        <v>36.945</v>
      </c>
    </row>
    <row r="122" spans="1:5" x14ac:dyDescent="0.2">
      <c r="A122" t="e">
        <f>IF(-Specification!S127/2=0,#N/A,Specification!K127)</f>
        <v>#N/A</v>
      </c>
      <c r="B122" t="e">
        <f>IF(-Specification!S127/2=0,#N/A,-Specification!S127/2)</f>
        <v>#N/A</v>
      </c>
      <c r="C122" t="e">
        <f>IF(Specification!S127/2=0,#N/A,Specification!S127/2)</f>
        <v>#N/A</v>
      </c>
      <c r="D122" t="e">
        <f>IF(-Specification!U127/2=0,#N/A,-Specification!U127/2)</f>
        <v>#N/A</v>
      </c>
      <c r="E122" t="e">
        <f>IF(Specification!U127/2=0,#N/A,Specification!U127/2)</f>
        <v>#N/A</v>
      </c>
    </row>
    <row r="123" spans="1:5" x14ac:dyDescent="0.2">
      <c r="A123">
        <f>IF(-Specification!S128/2=0,#N/A,Specification!K128)</f>
        <v>112.72093511943521</v>
      </c>
      <c r="B123">
        <f>IF(-Specification!S128/2=0,#N/A,-Specification!S128/2)</f>
        <v>-57.201415130459885</v>
      </c>
      <c r="C123">
        <f>IF(Specification!S128/2=0,#N/A,Specification!S128/2)</f>
        <v>57.201415130459885</v>
      </c>
      <c r="D123">
        <f>IF(-Specification!U128/2=0,#N/A,-Specification!U128/2)</f>
        <v>-36.945</v>
      </c>
      <c r="E123">
        <f>IF(Specification!U128/2=0,#N/A,Specification!U128/2)</f>
        <v>36.945</v>
      </c>
    </row>
    <row r="124" spans="1:5" x14ac:dyDescent="0.2">
      <c r="A124" t="e">
        <f>IF(-Specification!S129/2=0,#N/A,Specification!K129)</f>
        <v>#N/A</v>
      </c>
      <c r="B124" t="e">
        <f>IF(-Specification!S129/2=0,#N/A,-Specification!S129/2)</f>
        <v>#N/A</v>
      </c>
      <c r="C124" t="e">
        <f>IF(Specification!S129/2=0,#N/A,Specification!S129/2)</f>
        <v>#N/A</v>
      </c>
      <c r="D124" t="e">
        <f>IF(-Specification!U129/2=0,#N/A,-Specification!U129/2)</f>
        <v>#N/A</v>
      </c>
      <c r="E124" t="e">
        <f>IF(Specification!U129/2=0,#N/A,Specification!U129/2)</f>
        <v>#N/A</v>
      </c>
    </row>
    <row r="125" spans="1:5" x14ac:dyDescent="0.2">
      <c r="A125">
        <f>IF(-Specification!S130/2=0,#N/A,Specification!K130)</f>
        <v>114.72291684039064</v>
      </c>
      <c r="B125">
        <f>IF(-Specification!S130/2=0,#N/A,-Specification!S130/2)</f>
        <v>-57.055314867799474</v>
      </c>
      <c r="C125">
        <f>IF(Specification!S130/2=0,#N/A,Specification!S130/2)</f>
        <v>57.055314867799474</v>
      </c>
      <c r="D125">
        <f>IF(-Specification!U130/2=0,#N/A,-Specification!U130/2)</f>
        <v>-36.945</v>
      </c>
      <c r="E125">
        <f>IF(Specification!U130/2=0,#N/A,Specification!U130/2)</f>
        <v>36.945</v>
      </c>
    </row>
    <row r="126" spans="1:5" x14ac:dyDescent="0.2">
      <c r="A126" t="e">
        <f>IF(-Specification!S131/2=0,#N/A,Specification!K131)</f>
        <v>#N/A</v>
      </c>
      <c r="B126" t="e">
        <f>IF(-Specification!S131/2=0,#N/A,-Specification!S131/2)</f>
        <v>#N/A</v>
      </c>
      <c r="C126" t="e">
        <f>IF(Specification!S131/2=0,#N/A,Specification!S131/2)</f>
        <v>#N/A</v>
      </c>
      <c r="D126" t="e">
        <f>IF(-Specification!U131/2=0,#N/A,-Specification!U131/2)</f>
        <v>#N/A</v>
      </c>
      <c r="E126" t="e">
        <f>IF(Specification!U131/2=0,#N/A,Specification!U131/2)</f>
        <v>#N/A</v>
      </c>
    </row>
    <row r="127" spans="1:5" x14ac:dyDescent="0.2">
      <c r="A127">
        <f>IF(-Specification!S132/2=0,#N/A,Specification!K132)</f>
        <v>116.72389857047645</v>
      </c>
      <c r="B127">
        <f>IF(-Specification!S132/2=0,#N/A,-Specification!S132/2)</f>
        <v>-56.811093647910042</v>
      </c>
      <c r="C127">
        <f>IF(Specification!S132/2=0,#N/A,Specification!S132/2)</f>
        <v>56.811093647910042</v>
      </c>
      <c r="D127">
        <f>IF(-Specification!U132/2=0,#N/A,-Specification!U132/2)</f>
        <v>-36.945</v>
      </c>
      <c r="E127">
        <f>IF(Specification!U132/2=0,#N/A,Specification!U132/2)</f>
        <v>36.945</v>
      </c>
    </row>
    <row r="128" spans="1:5" x14ac:dyDescent="0.2">
      <c r="A128" t="e">
        <f>IF(-Specification!S133/2=0,#N/A,Specification!K133)</f>
        <v>#N/A</v>
      </c>
      <c r="B128" t="e">
        <f>IF(-Specification!S133/2=0,#N/A,-Specification!S133/2)</f>
        <v>#N/A</v>
      </c>
      <c r="C128" t="e">
        <f>IF(Specification!S133/2=0,#N/A,Specification!S133/2)</f>
        <v>#N/A</v>
      </c>
      <c r="D128" t="e">
        <f>IF(-Specification!U133/2=0,#N/A,-Specification!U133/2)</f>
        <v>#N/A</v>
      </c>
      <c r="E128" t="e">
        <f>IF(Specification!U133/2=0,#N/A,Specification!U133/2)</f>
        <v>#N/A</v>
      </c>
    </row>
    <row r="129" spans="1:5" x14ac:dyDescent="0.2">
      <c r="A129">
        <f>IF(-Specification!S134/2=0,#N/A,Specification!K134)</f>
        <v>118.72588029143188</v>
      </c>
      <c r="B129">
        <f>IF(-Specification!S134/2=0,#N/A,-Specification!S134/2)</f>
        <v>-56.467232256016921</v>
      </c>
      <c r="C129">
        <f>IF(Specification!S134/2=0,#N/A,Specification!S134/2)</f>
        <v>56.467232256016921</v>
      </c>
      <c r="D129">
        <f>IF(-Specification!U134/2=0,#N/A,-Specification!U134/2)</f>
        <v>-36.945</v>
      </c>
      <c r="E129">
        <f>IF(Specification!U134/2=0,#N/A,Specification!U134/2)</f>
        <v>36.945</v>
      </c>
    </row>
    <row r="130" spans="1:5" x14ac:dyDescent="0.2">
      <c r="A130" t="e">
        <f>IF(-Specification!S135/2=0,#N/A,Specification!K135)</f>
        <v>#N/A</v>
      </c>
      <c r="B130" t="e">
        <f>IF(-Specification!S135/2=0,#N/A,-Specification!S135/2)</f>
        <v>#N/A</v>
      </c>
      <c r="C130" t="e">
        <f>IF(Specification!S135/2=0,#N/A,Specification!S135/2)</f>
        <v>#N/A</v>
      </c>
      <c r="D130" t="e">
        <f>IF(-Specification!U135/2=0,#N/A,-Specification!U135/2)</f>
        <v>#N/A</v>
      </c>
      <c r="E130" t="e">
        <f>IF(Specification!U135/2=0,#N/A,Specification!U135/2)</f>
        <v>#N/A</v>
      </c>
    </row>
    <row r="131" spans="1:5" x14ac:dyDescent="0.2">
      <c r="A131">
        <f>IF(-Specification!S136/2=0,#N/A,Specification!K136)</f>
        <v>120.72686202151769</v>
      </c>
      <c r="B131">
        <f>IF(-Specification!S136/2=0,#N/A,-Specification!S136/2)</f>
        <v>-56.022243255188236</v>
      </c>
      <c r="C131">
        <f>IF(Specification!S136/2=0,#N/A,Specification!S136/2)</f>
        <v>56.022243255188236</v>
      </c>
      <c r="D131">
        <f>IF(-Specification!U136/2=0,#N/A,-Specification!U136/2)</f>
        <v>-36.945</v>
      </c>
      <c r="E131">
        <f>IF(Specification!U136/2=0,#N/A,Specification!U136/2)</f>
        <v>36.945</v>
      </c>
    </row>
    <row r="132" spans="1:5" x14ac:dyDescent="0.2">
      <c r="A132" t="e">
        <f>IF(-Specification!S137/2=0,#N/A,Specification!K137)</f>
        <v>#N/A</v>
      </c>
      <c r="B132" t="e">
        <f>IF(-Specification!S137/2=0,#N/A,-Specification!S137/2)</f>
        <v>#N/A</v>
      </c>
      <c r="C132" t="e">
        <f>IF(Specification!S137/2=0,#N/A,Specification!S137/2)</f>
        <v>#N/A</v>
      </c>
      <c r="D132" t="e">
        <f>IF(-Specification!U137/2=0,#N/A,-Specification!U137/2)</f>
        <v>#N/A</v>
      </c>
      <c r="E132" t="e">
        <f>IF(Specification!U137/2=0,#N/A,Specification!U137/2)</f>
        <v>#N/A</v>
      </c>
    </row>
    <row r="133" spans="1:5" x14ac:dyDescent="0.2">
      <c r="A133">
        <f>IF(-Specification!S138/2=0,#N/A,Specification!K138)</f>
        <v>122.72884374247312</v>
      </c>
      <c r="B133">
        <f>IF(-Specification!S138/2=0,#N/A,-Specification!S138/2)</f>
        <v>-55.473242126034549</v>
      </c>
      <c r="C133">
        <f>IF(Specification!S138/2=0,#N/A,Specification!S138/2)</f>
        <v>55.473242126034549</v>
      </c>
      <c r="D133">
        <f>IF(-Specification!U138/2=0,#N/A,-Specification!U138/2)</f>
        <v>-36.945</v>
      </c>
      <c r="E133">
        <f>IF(Specification!U138/2=0,#N/A,Specification!U138/2)</f>
        <v>36.945</v>
      </c>
    </row>
    <row r="134" spans="1:5" x14ac:dyDescent="0.2">
      <c r="A134" t="e">
        <f>IF(-Specification!S139/2=0,#N/A,Specification!K139)</f>
        <v>#N/A</v>
      </c>
      <c r="B134" t="e">
        <f>IF(-Specification!S139/2=0,#N/A,-Specification!S139/2)</f>
        <v>#N/A</v>
      </c>
      <c r="C134" t="e">
        <f>IF(Specification!S139/2=0,#N/A,Specification!S139/2)</f>
        <v>#N/A</v>
      </c>
      <c r="D134" t="e">
        <f>IF(-Specification!U139/2=0,#N/A,-Specification!U139/2)</f>
        <v>#N/A</v>
      </c>
      <c r="E134" t="e">
        <f>IF(Specification!U139/2=0,#N/A,Specification!U139/2)</f>
        <v>#N/A</v>
      </c>
    </row>
    <row r="135" spans="1:5" x14ac:dyDescent="0.2">
      <c r="A135">
        <f>IF(-Specification!S140/2=0,#N/A,Specification!K140)</f>
        <v>124.72982547255893</v>
      </c>
      <c r="B135">
        <f>IF(-Specification!S140/2=0,#N/A,-Specification!S140/2)</f>
        <v>-54.817661629650367</v>
      </c>
      <c r="C135">
        <f>IF(Specification!S140/2=0,#N/A,Specification!S140/2)</f>
        <v>54.817661629650367</v>
      </c>
      <c r="D135">
        <f>IF(-Specification!U140/2=0,#N/A,-Specification!U140/2)</f>
        <v>-36.945</v>
      </c>
      <c r="E135">
        <f>IF(Specification!U140/2=0,#N/A,Specification!U140/2)</f>
        <v>36.945</v>
      </c>
    </row>
    <row r="136" spans="1:5" x14ac:dyDescent="0.2">
      <c r="A136" t="e">
        <f>IF(-Specification!S141/2=0,#N/A,Specification!K141)</f>
        <v>#N/A</v>
      </c>
      <c r="B136" t="e">
        <f>IF(-Specification!S141/2=0,#N/A,-Specification!S141/2)</f>
        <v>#N/A</v>
      </c>
      <c r="C136" t="e">
        <f>IF(Specification!S141/2=0,#N/A,Specification!S141/2)</f>
        <v>#N/A</v>
      </c>
      <c r="D136" t="e">
        <f>IF(-Specification!U141/2=0,#N/A,-Specification!U141/2)</f>
        <v>#N/A</v>
      </c>
      <c r="E136" t="e">
        <f>IF(Specification!U141/2=0,#N/A,Specification!U141/2)</f>
        <v>#N/A</v>
      </c>
    </row>
    <row r="137" spans="1:5" x14ac:dyDescent="0.2">
      <c r="A137">
        <f>IF(-Specification!S142/2=0,#N/A,Specification!K142)</f>
        <v>126.73180719351436</v>
      </c>
      <c r="B137">
        <f>IF(-Specification!S142/2=0,#N/A,-Specification!S142/2)</f>
        <v>-54.050955353442461</v>
      </c>
      <c r="C137">
        <f>IF(Specification!S142/2=0,#N/A,Specification!S142/2)</f>
        <v>54.050955353442461</v>
      </c>
      <c r="D137">
        <f>IF(-Specification!U142/2=0,#N/A,-Specification!U142/2)</f>
        <v>-36.908257456254603</v>
      </c>
      <c r="E137">
        <f>IF(Specification!U142/2=0,#N/A,Specification!U142/2)</f>
        <v>36.908257456254603</v>
      </c>
    </row>
    <row r="138" spans="1:5" x14ac:dyDescent="0.2">
      <c r="A138" t="e">
        <f>IF(-Specification!S143/2=0,#N/A,Specification!K143)</f>
        <v>#N/A</v>
      </c>
      <c r="B138" t="e">
        <f>IF(-Specification!S143/2=0,#N/A,-Specification!S143/2)</f>
        <v>#N/A</v>
      </c>
      <c r="C138" t="e">
        <f>IF(Specification!S143/2=0,#N/A,Specification!S143/2)</f>
        <v>#N/A</v>
      </c>
      <c r="D138" t="e">
        <f>IF(-Specification!U143/2=0,#N/A,-Specification!U143/2)</f>
        <v>#N/A</v>
      </c>
      <c r="E138" t="e">
        <f>IF(Specification!U143/2=0,#N/A,Specification!U143/2)</f>
        <v>#N/A</v>
      </c>
    </row>
    <row r="139" spans="1:5" x14ac:dyDescent="0.2">
      <c r="A139">
        <f>IF(-Specification!S144/2=0,#N/A,Specification!K144)</f>
        <v>128.7327889236002</v>
      </c>
      <c r="B139">
        <f>IF(-Specification!S144/2=0,#N/A,-Specification!S144/2)</f>
        <v>-53.169100265752817</v>
      </c>
      <c r="C139">
        <f>IF(Specification!S144/2=0,#N/A,Specification!S144/2)</f>
        <v>53.169100265752817</v>
      </c>
      <c r="D139">
        <f>IF(-Specification!U144/2=0,#N/A,-Specification!U144/2)</f>
        <v>-36.797883360908884</v>
      </c>
      <c r="E139">
        <f>IF(Specification!U144/2=0,#N/A,Specification!U144/2)</f>
        <v>36.797883360908884</v>
      </c>
    </row>
    <row r="140" spans="1:5" x14ac:dyDescent="0.2">
      <c r="A140" t="e">
        <f>IF(-Specification!S145/2=0,#N/A,Specification!K145)</f>
        <v>#N/A</v>
      </c>
      <c r="B140" t="e">
        <f>IF(-Specification!S145/2=0,#N/A,-Specification!S145/2)</f>
        <v>#N/A</v>
      </c>
      <c r="C140" t="e">
        <f>IF(Specification!S145/2=0,#N/A,Specification!S145/2)</f>
        <v>#N/A</v>
      </c>
      <c r="D140" t="e">
        <f>IF(-Specification!U145/2=0,#N/A,-Specification!U145/2)</f>
        <v>#N/A</v>
      </c>
      <c r="E140" t="e">
        <f>IF(Specification!U145/2=0,#N/A,Specification!U145/2)</f>
        <v>#N/A</v>
      </c>
    </row>
    <row r="141" spans="1:5" x14ac:dyDescent="0.2">
      <c r="A141">
        <f>IF(-Specification!S146/2=0,#N/A,Specification!K146)</f>
        <v>130.73477064455562</v>
      </c>
      <c r="B141">
        <f>IF(-Specification!S146/2=0,#N/A,-Specification!S146/2)</f>
        <v>-52.165351207420073</v>
      </c>
      <c r="C141">
        <f>IF(Specification!S146/2=0,#N/A,Specification!S146/2)</f>
        <v>52.165351207420073</v>
      </c>
      <c r="D141">
        <f>IF(-Specification!U146/2=0,#N/A,-Specification!U146/2)</f>
        <v>-36.613100769732966</v>
      </c>
      <c r="E141">
        <f>IF(Specification!U146/2=0,#N/A,Specification!U146/2)</f>
        <v>36.613100769732966</v>
      </c>
    </row>
    <row r="142" spans="1:5" x14ac:dyDescent="0.2">
      <c r="A142" t="e">
        <f>IF(-Specification!S147/2=0,#N/A,Specification!K147)</f>
        <v>#N/A</v>
      </c>
      <c r="B142" t="e">
        <f>IF(-Specification!S147/2=0,#N/A,-Specification!S147/2)</f>
        <v>#N/A</v>
      </c>
      <c r="C142" t="e">
        <f>IF(Specification!S147/2=0,#N/A,Specification!S147/2)</f>
        <v>#N/A</v>
      </c>
      <c r="D142" t="e">
        <f>IF(-Specification!U147/2=0,#N/A,-Specification!U147/2)</f>
        <v>#N/A</v>
      </c>
      <c r="E142" t="e">
        <f>IF(Specification!U147/2=0,#N/A,Specification!U147/2)</f>
        <v>#N/A</v>
      </c>
    </row>
    <row r="143" spans="1:5" x14ac:dyDescent="0.2">
      <c r="A143">
        <f>IF(-Specification!S148/2=0,#N/A,Specification!K148)</f>
        <v>132.73575237464146</v>
      </c>
      <c r="B143">
        <f>IF(-Specification!S148/2=0,#N/A,-Specification!S148/2)</f>
        <v>-51.033551012289848</v>
      </c>
      <c r="C143">
        <f>IF(Specification!S148/2=0,#N/A,Specification!S148/2)</f>
        <v>51.033551012289848</v>
      </c>
      <c r="D143">
        <f>IF(-Specification!U148/2=0,#N/A,-Specification!U148/2)</f>
        <v>-36.352961425064393</v>
      </c>
      <c r="E143">
        <f>IF(Specification!U148/2=0,#N/A,Specification!U148/2)</f>
        <v>36.352961425064393</v>
      </c>
    </row>
    <row r="144" spans="1:5" x14ac:dyDescent="0.2">
      <c r="A144" t="e">
        <f>IF(-Specification!S149/2=0,#N/A,Specification!K149)</f>
        <v>#N/A</v>
      </c>
      <c r="B144" t="e">
        <f>IF(-Specification!S149/2=0,#N/A,-Specification!S149/2)</f>
        <v>#N/A</v>
      </c>
      <c r="C144" t="e">
        <f>IF(Specification!S149/2=0,#N/A,Specification!S149/2)</f>
        <v>#N/A</v>
      </c>
      <c r="D144" t="e">
        <f>IF(-Specification!U149/2=0,#N/A,-Specification!U149/2)</f>
        <v>#N/A</v>
      </c>
      <c r="E144" t="e">
        <f>IF(Specification!U149/2=0,#N/A,Specification!U149/2)</f>
        <v>#N/A</v>
      </c>
    </row>
    <row r="145" spans="1:5" x14ac:dyDescent="0.2">
      <c r="A145">
        <f>IF(-Specification!S150/2=0,#N/A,Specification!K150)</f>
        <v>134.73773409559689</v>
      </c>
      <c r="B145">
        <f>IF(-Specification!S150/2=0,#N/A,-Specification!S150/2)</f>
        <v>-49.763790730757378</v>
      </c>
      <c r="C145">
        <f>IF(Specification!S150/2=0,#N/A,Specification!S150/2)</f>
        <v>49.763790730757378</v>
      </c>
      <c r="D145">
        <f>IF(-Specification!U150/2=0,#N/A,-Specification!U150/2)</f>
        <v>-36.015569094187278</v>
      </c>
      <c r="E145">
        <f>IF(Specification!U150/2=0,#N/A,Specification!U150/2)</f>
        <v>36.015569094187278</v>
      </c>
    </row>
    <row r="146" spans="1:5" x14ac:dyDescent="0.2">
      <c r="A146" t="e">
        <f>IF(-Specification!S151/2=0,#N/A,Specification!K151)</f>
        <v>#N/A</v>
      </c>
      <c r="B146" t="e">
        <f>IF(-Specification!S151/2=0,#N/A,-Specification!S151/2)</f>
        <v>#N/A</v>
      </c>
      <c r="C146" t="e">
        <f>IF(Specification!S151/2=0,#N/A,Specification!S151/2)</f>
        <v>#N/A</v>
      </c>
      <c r="D146" t="e">
        <f>IF(-Specification!U151/2=0,#N/A,-Specification!U151/2)</f>
        <v>#N/A</v>
      </c>
      <c r="E146" t="e">
        <f>IF(Specification!U151/2=0,#N/A,Specification!U151/2)</f>
        <v>#N/A</v>
      </c>
    </row>
    <row r="147" spans="1:5" x14ac:dyDescent="0.2">
      <c r="A147">
        <f>IF(-Specification!S152/2=0,#N/A,Specification!K152)</f>
        <v>136.73871582568273</v>
      </c>
      <c r="B147">
        <f>IF(-Specification!S152/2=0,#N/A,-Specification!S152/2)</f>
        <v>-48.346523598970187</v>
      </c>
      <c r="C147">
        <f>IF(Specification!S152/2=0,#N/A,Specification!S152/2)</f>
        <v>48.346523598970187</v>
      </c>
      <c r="D147">
        <f>IF(-Specification!U152/2=0,#N/A,-Specification!U152/2)</f>
        <v>-35.599069911831883</v>
      </c>
      <c r="E147">
        <f>IF(Specification!U152/2=0,#N/A,Specification!U152/2)</f>
        <v>35.599069911831883</v>
      </c>
    </row>
    <row r="148" spans="1:5" x14ac:dyDescent="0.2">
      <c r="A148" t="e">
        <f>IF(-Specification!S153/2=0,#N/A,Specification!K153)</f>
        <v>#N/A</v>
      </c>
      <c r="B148" t="e">
        <f>IF(-Specification!S153/2=0,#N/A,-Specification!S153/2)</f>
        <v>#N/A</v>
      </c>
      <c r="C148" t="e">
        <f>IF(Specification!S153/2=0,#N/A,Specification!S153/2)</f>
        <v>#N/A</v>
      </c>
      <c r="D148" t="e">
        <f>IF(-Specification!U153/2=0,#N/A,-Specification!U153/2)</f>
        <v>#N/A</v>
      </c>
      <c r="E148" t="e">
        <f>IF(Specification!U153/2=0,#N/A,Specification!U153/2)</f>
        <v>#N/A</v>
      </c>
    </row>
    <row r="149" spans="1:5" x14ac:dyDescent="0.2">
      <c r="A149">
        <f>IF(-Specification!S154/2=0,#N/A,Specification!K154)</f>
        <v>138.74069754663816</v>
      </c>
      <c r="B149">
        <f>IF(-Specification!S154/2=0,#N/A,-Specification!S154/2)</f>
        <v>-46.766855555224396</v>
      </c>
      <c r="C149">
        <f>IF(Specification!S154/2=0,#N/A,Specification!S154/2)</f>
        <v>46.766855555224396</v>
      </c>
      <c r="D149">
        <f>IF(-Specification!U154/2=0,#N/A,-Specification!U154/2)</f>
        <v>-35.100223305099426</v>
      </c>
      <c r="E149">
        <f>IF(Specification!U154/2=0,#N/A,Specification!U154/2)</f>
        <v>35.100223305099426</v>
      </c>
    </row>
    <row r="150" spans="1:5" x14ac:dyDescent="0.2">
      <c r="A150" t="e">
        <f>IF(-Specification!S155/2=0,#N/A,Specification!K155)</f>
        <v>#N/A</v>
      </c>
      <c r="B150" t="e">
        <f>IF(-Specification!S155/2=0,#N/A,-Specification!S155/2)</f>
        <v>#N/A</v>
      </c>
      <c r="C150" t="e">
        <f>IF(Specification!S155/2=0,#N/A,Specification!S155/2)</f>
        <v>#N/A</v>
      </c>
      <c r="D150" t="e">
        <f>IF(-Specification!U155/2=0,#N/A,-Specification!U155/2)</f>
        <v>#N/A</v>
      </c>
      <c r="E150" t="e">
        <f>IF(Specification!U155/2=0,#N/A,Specification!U155/2)</f>
        <v>#N/A</v>
      </c>
    </row>
    <row r="151" spans="1:5" x14ac:dyDescent="0.2">
      <c r="A151">
        <f>IF(-Specification!S156/2=0,#N/A,Specification!K156)</f>
        <v>140.741679276724</v>
      </c>
      <c r="B151">
        <f>IF(-Specification!S156/2=0,#N/A,-Specification!S156/2)</f>
        <v>-45.009357567233174</v>
      </c>
      <c r="C151">
        <f>IF(Specification!S156/2=0,#N/A,Specification!S156/2)</f>
        <v>45.009357567233174</v>
      </c>
      <c r="D151">
        <f>IF(-Specification!U156/2=0,#N/A,-Specification!U156/2)</f>
        <v>-34.515969383589372</v>
      </c>
      <c r="E151">
        <f>IF(Specification!U156/2=0,#N/A,Specification!U156/2)</f>
        <v>34.515969383589372</v>
      </c>
    </row>
    <row r="152" spans="1:5" x14ac:dyDescent="0.2">
      <c r="A152" t="e">
        <f>IF(-Specification!S157/2=0,#N/A,Specification!K157)</f>
        <v>#N/A</v>
      </c>
      <c r="B152" t="e">
        <f>IF(-Specification!S157/2=0,#N/A,-Specification!S157/2)</f>
        <v>#N/A</v>
      </c>
      <c r="C152" t="e">
        <f>IF(Specification!S157/2=0,#N/A,Specification!S157/2)</f>
        <v>#N/A</v>
      </c>
      <c r="D152" t="e">
        <f>IF(-Specification!U157/2=0,#N/A,-Specification!U157/2)</f>
        <v>#N/A</v>
      </c>
      <c r="E152" t="e">
        <f>IF(Specification!U157/2=0,#N/A,Specification!U157/2)</f>
        <v>#N/A</v>
      </c>
    </row>
    <row r="153" spans="1:5" x14ac:dyDescent="0.2">
      <c r="A153">
        <f>IF(-Specification!S158/2=0,#N/A,Specification!K158)</f>
        <v>142.74366099767943</v>
      </c>
      <c r="B153">
        <f>IF(-Specification!S158/2=0,#N/A,-Specification!S158/2)</f>
        <v>-43.050384417323272</v>
      </c>
      <c r="C153">
        <f>IF(Specification!S158/2=0,#N/A,Specification!S158/2)</f>
        <v>43.050384417323272</v>
      </c>
      <c r="D153">
        <f>IF(-Specification!U158/2=0,#N/A,-Specification!U158/2)</f>
        <v>-33.841284323199396</v>
      </c>
      <c r="E153">
        <f>IF(Specification!U158/2=0,#N/A,Specification!U158/2)</f>
        <v>33.841284323199396</v>
      </c>
    </row>
    <row r="154" spans="1:5" x14ac:dyDescent="0.2">
      <c r="A154" t="e">
        <f>IF(-Specification!S159/2=0,#N/A,Specification!K159)</f>
        <v>#N/A</v>
      </c>
      <c r="B154" t="e">
        <f>IF(-Specification!S159/2=0,#N/A,-Specification!S159/2)</f>
        <v>#N/A</v>
      </c>
      <c r="C154" t="e">
        <f>IF(Specification!S159/2=0,#N/A,Specification!S159/2)</f>
        <v>#N/A</v>
      </c>
      <c r="D154" t="e">
        <f>IF(-Specification!U159/2=0,#N/A,-Specification!U159/2)</f>
        <v>#N/A</v>
      </c>
      <c r="E154" t="e">
        <f>IF(Specification!U159/2=0,#N/A,Specification!U159/2)</f>
        <v>#N/A</v>
      </c>
    </row>
    <row r="155" spans="1:5" x14ac:dyDescent="0.2">
      <c r="A155">
        <f>IF(-Specification!S160/2=0,#N/A,Specification!K160)</f>
        <v>144.74464272776527</v>
      </c>
      <c r="B155">
        <f>IF(-Specification!S160/2=0,#N/A,-Specification!S160/2)</f>
        <v>-40.863077496094171</v>
      </c>
      <c r="C155">
        <f>IF(Specification!S160/2=0,#N/A,Specification!S160/2)</f>
        <v>40.863077496094171</v>
      </c>
      <c r="D155">
        <f>IF(-Specification!U160/2=0,#N/A,-Specification!U160/2)</f>
        <v>-33.071330424952265</v>
      </c>
      <c r="E155">
        <f>IF(Specification!U160/2=0,#N/A,Specification!U160/2)</f>
        <v>33.071330424952265</v>
      </c>
    </row>
    <row r="156" spans="1:5" x14ac:dyDescent="0.2">
      <c r="A156" t="e">
        <f>IF(-Specification!S161/2=0,#N/A,Specification!K161)</f>
        <v>#N/A</v>
      </c>
      <c r="B156" t="e">
        <f>IF(-Specification!S161/2=0,#N/A,-Specification!S161/2)</f>
        <v>#N/A</v>
      </c>
      <c r="C156" t="e">
        <f>IF(Specification!S161/2=0,#N/A,Specification!S161/2)</f>
        <v>#N/A</v>
      </c>
      <c r="D156" t="e">
        <f>IF(-Specification!U161/2=0,#N/A,-Specification!U161/2)</f>
        <v>#N/A</v>
      </c>
      <c r="E156" t="e">
        <f>IF(Specification!U161/2=0,#N/A,Specification!U161/2)</f>
        <v>#N/A</v>
      </c>
    </row>
    <row r="157" spans="1:5" x14ac:dyDescent="0.2">
      <c r="A157">
        <f>IF(-Specification!S162/2=0,#N/A,Specification!K162)</f>
        <v>146.74662444872069</v>
      </c>
      <c r="B157">
        <f>IF(-Specification!S162/2=0,#N/A,-Specification!S162/2)</f>
        <v>-38.406058477314168</v>
      </c>
      <c r="C157">
        <f>IF(Specification!S162/2=0,#N/A,Specification!S162/2)</f>
        <v>38.406058477314168</v>
      </c>
      <c r="D157">
        <f>IF(-Specification!U162/2=0,#N/A,-Specification!U162/2)</f>
        <v>-32.198474543144251</v>
      </c>
      <c r="E157">
        <f>IF(Specification!U162/2=0,#N/A,Specification!U162/2)</f>
        <v>32.198474543144251</v>
      </c>
    </row>
    <row r="158" spans="1:5" x14ac:dyDescent="0.2">
      <c r="A158" t="e">
        <f>IF(-Specification!S163/2=0,#N/A,Specification!K163)</f>
        <v>#N/A</v>
      </c>
      <c r="B158" t="e">
        <f>IF(-Specification!S163/2=0,#N/A,-Specification!S163/2)</f>
        <v>#N/A</v>
      </c>
      <c r="C158" t="e">
        <f>IF(Specification!S163/2=0,#N/A,Specification!S163/2)</f>
        <v>#N/A</v>
      </c>
      <c r="D158" t="e">
        <f>IF(-Specification!U163/2=0,#N/A,-Specification!U163/2)</f>
        <v>#N/A</v>
      </c>
      <c r="E158" t="e">
        <f>IF(Specification!U163/2=0,#N/A,Specification!U163/2)</f>
        <v>#N/A</v>
      </c>
    </row>
    <row r="159" spans="1:5" x14ac:dyDescent="0.2">
      <c r="A159">
        <f>IF(-Specification!S164/2=0,#N/A,Specification!K164)</f>
        <v>148.74760617880654</v>
      </c>
      <c r="B159">
        <f>IF(-Specification!S164/2=0,#N/A,-Specification!S164/2)</f>
        <v>-35.626294300923632</v>
      </c>
      <c r="C159">
        <f>IF(Specification!S164/2=0,#N/A,Specification!S164/2)</f>
        <v>35.626294300923632</v>
      </c>
      <c r="D159">
        <f>IF(-Specification!U164/2=0,#N/A,-Specification!U164/2)</f>
        <v>-31.214997026268918</v>
      </c>
      <c r="E159">
        <f>IF(Specification!U164/2=0,#N/A,Specification!U164/2)</f>
        <v>31.214997026268918</v>
      </c>
    </row>
    <row r="160" spans="1:5" x14ac:dyDescent="0.2">
      <c r="A160" t="e">
        <f>IF(-Specification!S165/2=0,#N/A,Specification!K165)</f>
        <v>#N/A</v>
      </c>
      <c r="B160" t="e">
        <f>IF(-Specification!S165/2=0,#N/A,-Specification!S165/2)</f>
        <v>#N/A</v>
      </c>
      <c r="C160" t="e">
        <f>IF(Specification!S165/2=0,#N/A,Specification!S165/2)</f>
        <v>#N/A</v>
      </c>
      <c r="D160" t="e">
        <f>IF(-Specification!U165/2=0,#N/A,-Specification!U165/2)</f>
        <v>#N/A</v>
      </c>
      <c r="E160" t="e">
        <f>IF(Specification!U165/2=0,#N/A,Specification!U165/2)</f>
        <v>#N/A</v>
      </c>
    </row>
    <row r="161" spans="1:5" x14ac:dyDescent="0.2">
      <c r="A161">
        <f>IF(-Specification!S166/2=0,#N/A,Specification!K166)</f>
        <v>150.74958789976196</v>
      </c>
      <c r="B161">
        <f>IF(-Specification!S166/2=0,#N/A,-Specification!S166/2)</f>
        <v>-32.437755261021358</v>
      </c>
      <c r="C161">
        <f>IF(Specification!S166/2=0,#N/A,Specification!S166/2)</f>
        <v>32.437755261021358</v>
      </c>
      <c r="D161">
        <f>IF(-Specification!U166/2=0,#N/A,-Specification!U166/2)</f>
        <v>-30.10902507311561</v>
      </c>
      <c r="E161">
        <f>IF(Specification!U166/2=0,#N/A,Specification!U166/2)</f>
        <v>30.10902507311561</v>
      </c>
    </row>
    <row r="162" spans="1:5" x14ac:dyDescent="0.2">
      <c r="A162" t="e">
        <f>IF(-Specification!S167/2=0,#N/A,Specification!K167)</f>
        <v>#N/A</v>
      </c>
      <c r="B162" t="e">
        <f>IF(-Specification!S167/2=0,#N/A,-Specification!S167/2)</f>
        <v>#N/A</v>
      </c>
      <c r="C162" t="e">
        <f>IF(Specification!S167/2=0,#N/A,Specification!S167/2)</f>
        <v>#N/A</v>
      </c>
      <c r="D162" t="e">
        <f>IF(-Specification!U167/2=0,#N/A,-Specification!U167/2)</f>
        <v>#N/A</v>
      </c>
      <c r="E162" t="e">
        <f>IF(Specification!U167/2=0,#N/A,Specification!U167/2)</f>
        <v>#N/A</v>
      </c>
    </row>
    <row r="163" spans="1:5" x14ac:dyDescent="0.2">
      <c r="A163">
        <f>IF(-Specification!S168/2=0,#N/A,Specification!K168)</f>
        <v>152.7505696298478</v>
      </c>
      <c r="B163">
        <f>IF(-Specification!S168/2=0,#N/A,-Specification!S168/2)</f>
        <v>-28.708317577101713</v>
      </c>
      <c r="C163">
        <f>IF(Specification!S168/2=0,#N/A,Specification!S168/2)</f>
        <v>28.708317577101713</v>
      </c>
      <c r="D163">
        <f>IF(-Specification!U168/2=0,#N/A,-Specification!U168/2)</f>
        <v>-28.867656162385117</v>
      </c>
      <c r="E163">
        <f>IF(Specification!U168/2=0,#N/A,Specification!U168/2)</f>
        <v>28.867656162385117</v>
      </c>
    </row>
    <row r="164" spans="1:5" x14ac:dyDescent="0.2">
      <c r="A164" t="e">
        <f>IF(-Specification!S169/2=0,#N/A,Specification!K169)</f>
        <v>#N/A</v>
      </c>
      <c r="B164" t="e">
        <f>IF(-Specification!S169/2=0,#N/A,-Specification!S169/2)</f>
        <v>#N/A</v>
      </c>
      <c r="C164" t="e">
        <f>IF(Specification!S169/2=0,#N/A,Specification!S169/2)</f>
        <v>#N/A</v>
      </c>
      <c r="D164" t="e">
        <f>IF(-Specification!U169/2=0,#N/A,-Specification!U169/2)</f>
        <v>#N/A</v>
      </c>
      <c r="E164" t="e">
        <f>IF(Specification!U169/2=0,#N/A,Specification!U169/2)</f>
        <v>#N/A</v>
      </c>
    </row>
    <row r="165" spans="1:5" x14ac:dyDescent="0.2">
      <c r="A165">
        <f>IF(-Specification!S170/2=0,#N/A,Specification!K170)</f>
        <v>154.75255135080323</v>
      </c>
      <c r="B165">
        <f>IF(-Specification!S170/2=0,#N/A,-Specification!S170/2)</f>
        <v>-24.184365079787391</v>
      </c>
      <c r="C165">
        <f>IF(Specification!S170/2=0,#N/A,Specification!S170/2)</f>
        <v>24.184365079787391</v>
      </c>
      <c r="D165">
        <f>IF(-Specification!U170/2=0,#N/A,-Specification!U170/2)</f>
        <v>-27.471210539173754</v>
      </c>
      <c r="E165">
        <f>IF(Specification!U170/2=0,#N/A,Specification!U170/2)</f>
        <v>27.471210539173754</v>
      </c>
    </row>
    <row r="166" spans="1:5" x14ac:dyDescent="0.2">
      <c r="A166" t="e">
        <f>IF(-Specification!S171/2=0,#N/A,Specification!K171)</f>
        <v>#N/A</v>
      </c>
      <c r="B166" t="e">
        <f>IF(-Specification!S171/2=0,#N/A,-Specification!S171/2)</f>
        <v>#N/A</v>
      </c>
      <c r="C166" t="e">
        <f>IF(Specification!S171/2=0,#N/A,Specification!S171/2)</f>
        <v>#N/A</v>
      </c>
      <c r="D166" t="e">
        <f>IF(-Specification!U171/2=0,#N/A,-Specification!U171/2)</f>
        <v>#N/A</v>
      </c>
      <c r="E166" t="e">
        <f>IF(Specification!U171/2=0,#N/A,Specification!U171/2)</f>
        <v>#N/A</v>
      </c>
    </row>
    <row r="167" spans="1:5" x14ac:dyDescent="0.2">
      <c r="A167">
        <f>IF(-Specification!S172/2=0,#N/A,Specification!K172)</f>
        <v>156.25353764608502</v>
      </c>
      <c r="B167">
        <f>IF(-Specification!S172/2=0,#N/A,-Specification!S172/2)</f>
        <v>-19.954402258068139</v>
      </c>
      <c r="C167">
        <f>IF(Specification!S172/2=0,#N/A,Specification!S172/2)</f>
        <v>19.954402258068139</v>
      </c>
      <c r="D167">
        <f>IF(-Specification!U172/2=0,#N/A,-Specification!U172/2)</f>
        <v>-26.308203771066466</v>
      </c>
      <c r="E167">
        <f>IF(Specification!U172/2=0,#N/A,Specification!U172/2)</f>
        <v>26.308203771066466</v>
      </c>
    </row>
    <row r="168" spans="1:5" x14ac:dyDescent="0.2">
      <c r="A168" t="e">
        <f>IF(-Specification!S173/2=0,#N/A,Specification!K173)</f>
        <v>#N/A</v>
      </c>
      <c r="B168" t="e">
        <f>IF(-Specification!S173/2=0,#N/A,-Specification!S173/2)</f>
        <v>#N/A</v>
      </c>
      <c r="C168" t="e">
        <f>IF(Specification!S173/2=0,#N/A,Specification!S173/2)</f>
        <v>#N/A</v>
      </c>
      <c r="D168" t="e">
        <f>IF(-Specification!U173/2=0,#N/A,-Specification!U173/2)</f>
        <v>#N/A</v>
      </c>
      <c r="E168" t="e">
        <f>IF(Specification!U173/2=0,#N/A,Specification!U173/2)</f>
        <v>#N/A</v>
      </c>
    </row>
    <row r="169" spans="1:5" x14ac:dyDescent="0.2">
      <c r="A169">
        <f>IF(-Specification!S174/2=0,#N/A,Specification!K174)</f>
        <v>157.75452394136681</v>
      </c>
      <c r="B169">
        <f>IF(-Specification!S174/2=0,#N/A,-Specification!S174/2)</f>
        <v>-14.325329222223811</v>
      </c>
      <c r="C169">
        <f>IF(Specification!S174/2=0,#N/A,Specification!S174/2)</f>
        <v>14.325329222223811</v>
      </c>
      <c r="D169">
        <f>IF(-Specification!U174/2=0,#N/A,-Specification!U174/2)</f>
        <v>-25.030482306926825</v>
      </c>
      <c r="E169">
        <f>IF(Specification!U174/2=0,#N/A,Specification!U174/2)</f>
        <v>25.030482306926825</v>
      </c>
    </row>
    <row r="170" spans="1:5" x14ac:dyDescent="0.2">
      <c r="A170">
        <v>158.5</v>
      </c>
      <c r="B170">
        <f>IF(-Specification!T174/2=0,#N/A,-Specification!T174/2)</f>
        <v>-10.947335880559496</v>
      </c>
      <c r="C170">
        <f>IF(Specification!T174/2=0,#N/A,Specification!T174/2)</f>
        <v>10.947335880559496</v>
      </c>
      <c r="D170">
        <f>IF(-Specification!V174/2=0,#N/A,-Specification!V174/2)</f>
        <v>-24.438040349682659</v>
      </c>
      <c r="E170">
        <f>IF(Specification!V174/2=0,#N/A,Specification!V174/2)</f>
        <v>24.438040349682659</v>
      </c>
    </row>
    <row r="171" spans="1:5" x14ac:dyDescent="0.2">
      <c r="A171" t="e">
        <f>IF(-Specification!S176/2=0,#N/A,Specification!K176)</f>
        <v>#N/A</v>
      </c>
      <c r="B171" t="e">
        <f>IF(-Specification!S176/2=0,#N/A,-Specification!S176/2)</f>
        <v>#N/A</v>
      </c>
      <c r="C171" t="e">
        <f>IF(Specification!S176/2=0,#N/A,Specification!S176/2)</f>
        <v>#N/A</v>
      </c>
      <c r="D171" t="e">
        <f>IF(-Specification!U176/2=0,#N/A,-Specification!U176/2)</f>
        <v>#N/A</v>
      </c>
      <c r="E171" t="e">
        <f>IF(Specification!U176/2=0,#N/A,Specification!U176/2)</f>
        <v>#N/A</v>
      </c>
    </row>
    <row r="172" spans="1:5" x14ac:dyDescent="0.2">
      <c r="A172" t="e">
        <f>IF(-Specification!S177/2=0,#N/A,Specification!K177)</f>
        <v>#N/A</v>
      </c>
      <c r="B172" t="e">
        <f>IF(-Specification!S177/2=0,#N/A,-Specification!S177/2)</f>
        <v>#N/A</v>
      </c>
      <c r="C172" t="e">
        <f>IF(Specification!S177/2=0,#N/A,Specification!S177/2)</f>
        <v>#N/A</v>
      </c>
      <c r="D172" t="e">
        <f>IF(-Specification!U177/2=0,#N/A,-Specification!U177/2)</f>
        <v>#N/A</v>
      </c>
      <c r="E172" t="e">
        <f>IF(Specification!U177/2=0,#N/A,Specification!U177/2)</f>
        <v>#N/A</v>
      </c>
    </row>
    <row r="173" spans="1:5" x14ac:dyDescent="0.2">
      <c r="A173" t="e">
        <f>IF(-Specification!S178/2=0,#N/A,Specification!K178)</f>
        <v>#N/A</v>
      </c>
      <c r="B173" t="e">
        <f>IF(-Specification!S178/2=0,#N/A,-Specification!S178/2)</f>
        <v>#N/A</v>
      </c>
      <c r="C173" t="e">
        <f>IF(Specification!S178/2=0,#N/A,Specification!S178/2)</f>
        <v>#N/A</v>
      </c>
      <c r="D173" t="e">
        <f>IF(-Specification!U178/2=0,#N/A,-Specification!U178/2)</f>
        <v>#N/A</v>
      </c>
      <c r="E173" t="e">
        <f>IF(Specification!U178/2=0,#N/A,Specification!U178/2)</f>
        <v>#N/A</v>
      </c>
    </row>
    <row r="174" spans="1:5" x14ac:dyDescent="0.2">
      <c r="A174" t="e">
        <f>IF(-Specification!S179/2=0,#N/A,Specification!K179)</f>
        <v>#N/A</v>
      </c>
      <c r="B174" t="e">
        <f>IF(-Specification!S179/2=0,#N/A,-Specification!S179/2)</f>
        <v>#N/A</v>
      </c>
      <c r="C174" t="e">
        <f>IF(Specification!S179/2=0,#N/A,Specification!S179/2)</f>
        <v>#N/A</v>
      </c>
      <c r="D174" t="e">
        <f>IF(-Specification!U179/2=0,#N/A,-Specification!U179/2)</f>
        <v>#N/A</v>
      </c>
      <c r="E174" t="e">
        <f>IF(Specification!U179/2=0,#N/A,Specification!U179/2)</f>
        <v>#N/A</v>
      </c>
    </row>
    <row r="175" spans="1:5" x14ac:dyDescent="0.2">
      <c r="A175" t="e">
        <f>IF(-Specification!S180/2=0,#N/A,Specification!K180)</f>
        <v>#N/A</v>
      </c>
      <c r="B175" t="e">
        <f>IF(-Specification!S180/2=0,#N/A,-Specification!S180/2)</f>
        <v>#N/A</v>
      </c>
      <c r="C175" t="e">
        <f>IF(Specification!S180/2=0,#N/A,Specification!S180/2)</f>
        <v>#N/A</v>
      </c>
      <c r="D175" t="e">
        <f>IF(-Specification!U180/2=0,#N/A,-Specification!U180/2)</f>
        <v>#N/A</v>
      </c>
      <c r="E175" t="e">
        <f>IF(Specification!U180/2=0,#N/A,Specification!U180/2)</f>
        <v>#N/A</v>
      </c>
    </row>
    <row r="176" spans="1:5" x14ac:dyDescent="0.2">
      <c r="A176" t="e">
        <f>IF(-Specification!S181/2=0,#N/A,Specification!K181)</f>
        <v>#N/A</v>
      </c>
      <c r="B176" t="e">
        <f>IF(-Specification!S181/2=0,#N/A,-Specification!S181/2)</f>
        <v>#N/A</v>
      </c>
      <c r="C176" t="e">
        <f>IF(Specification!S181/2=0,#N/A,Specification!S181/2)</f>
        <v>#N/A</v>
      </c>
      <c r="D176" t="e">
        <f>IF(-Specification!U181/2=0,#N/A,-Specification!U181/2)</f>
        <v>#N/A</v>
      </c>
      <c r="E176" t="e">
        <f>IF(Specification!U181/2=0,#N/A,Specification!U181/2)</f>
        <v>#N/A</v>
      </c>
    </row>
    <row r="177" spans="1:5" x14ac:dyDescent="0.2">
      <c r="A177" t="e">
        <f>IF(-Specification!S182/2=0,#N/A,Specification!K182)</f>
        <v>#N/A</v>
      </c>
      <c r="B177" t="e">
        <f>IF(-Specification!S182/2=0,#N/A,-Specification!S182/2)</f>
        <v>#N/A</v>
      </c>
      <c r="C177" t="e">
        <f>IF(Specification!S182/2=0,#N/A,Specification!S182/2)</f>
        <v>#N/A</v>
      </c>
      <c r="D177" t="e">
        <f>IF(-Specification!U182/2=0,#N/A,-Specification!U182/2)</f>
        <v>#N/A</v>
      </c>
      <c r="E177" t="e">
        <f>IF(Specification!U182/2=0,#N/A,Specification!U182/2)</f>
        <v>#N/A</v>
      </c>
    </row>
    <row r="178" spans="1:5" x14ac:dyDescent="0.2">
      <c r="A178" t="e">
        <f>IF(-Specification!S183/2=0,#N/A,Specification!K183)</f>
        <v>#N/A</v>
      </c>
      <c r="B178" t="e">
        <f>IF(-Specification!S183/2=0,#N/A,-Specification!S183/2)</f>
        <v>#N/A</v>
      </c>
      <c r="C178" t="e">
        <f>IF(Specification!S183/2=0,#N/A,Specification!S183/2)</f>
        <v>#N/A</v>
      </c>
      <c r="D178" t="e">
        <f>IF(-Specification!U183/2=0,#N/A,-Specification!U183/2)</f>
        <v>#N/A</v>
      </c>
      <c r="E178" t="e">
        <f>IF(Specification!U183/2=0,#N/A,Specification!U183/2)</f>
        <v>#N/A</v>
      </c>
    </row>
    <row r="179" spans="1:5" x14ac:dyDescent="0.2">
      <c r="A179" t="e">
        <f>IF(-Specification!S184/2=0,#N/A,Specification!K184)</f>
        <v>#N/A</v>
      </c>
      <c r="B179" t="e">
        <f>IF(-Specification!S184/2=0,#N/A,-Specification!S184/2)</f>
        <v>#N/A</v>
      </c>
      <c r="C179" t="e">
        <f>IF(Specification!S184/2=0,#N/A,Specification!S184/2)</f>
        <v>#N/A</v>
      </c>
      <c r="D179" t="e">
        <f>IF(-Specification!U184/2=0,#N/A,-Specification!U184/2)</f>
        <v>#N/A</v>
      </c>
      <c r="E179" t="e">
        <f>IF(Specification!U184/2=0,#N/A,Specification!U184/2)</f>
        <v>#N/A</v>
      </c>
    </row>
    <row r="180" spans="1:5" x14ac:dyDescent="0.2">
      <c r="A180" t="e">
        <f>IF(-Specification!S185/2=0,#N/A,Specification!K185)</f>
        <v>#N/A</v>
      </c>
      <c r="B180" t="e">
        <f>IF(-Specification!S185/2=0,#N/A,-Specification!S185/2)</f>
        <v>#N/A</v>
      </c>
      <c r="C180" t="e">
        <f>IF(Specification!S185/2=0,#N/A,Specification!S185/2)</f>
        <v>#N/A</v>
      </c>
      <c r="D180" t="e">
        <f>IF(-Specification!U185/2=0,#N/A,-Specification!U185/2)</f>
        <v>#N/A</v>
      </c>
      <c r="E180" t="e">
        <f>IF(Specification!U185/2=0,#N/A,Specification!U185/2)</f>
        <v>#N/A</v>
      </c>
    </row>
    <row r="181" spans="1:5" x14ac:dyDescent="0.2">
      <c r="A181" t="e">
        <f>IF(-Specification!S186/2=0,#N/A,Specification!K186)</f>
        <v>#N/A</v>
      </c>
      <c r="B181" t="e">
        <f>IF(-Specification!S186/2=0,#N/A,-Specification!S186/2)</f>
        <v>#N/A</v>
      </c>
      <c r="C181" t="e">
        <f>IF(Specification!S186/2=0,#N/A,Specification!S186/2)</f>
        <v>#N/A</v>
      </c>
      <c r="D181" t="e">
        <f>IF(-Specification!U186/2=0,#N/A,-Specification!U186/2)</f>
        <v>#N/A</v>
      </c>
      <c r="E181" t="e">
        <f>IF(Specification!U186/2=0,#N/A,Specification!U186/2)</f>
        <v>#N/A</v>
      </c>
    </row>
    <row r="182" spans="1:5" x14ac:dyDescent="0.2">
      <c r="A182" t="e">
        <f>IF(-Specification!S187/2=0,#N/A,Specification!K187)</f>
        <v>#N/A</v>
      </c>
      <c r="B182" t="e">
        <f>IF(-Specification!S187/2=0,#N/A,-Specification!S187/2)</f>
        <v>#N/A</v>
      </c>
      <c r="C182" t="e">
        <f>IF(Specification!S187/2=0,#N/A,Specification!S187/2)</f>
        <v>#N/A</v>
      </c>
      <c r="D182" t="e">
        <f>IF(-Specification!U187/2=0,#N/A,-Specification!U187/2)</f>
        <v>#N/A</v>
      </c>
      <c r="E182" t="e">
        <f>IF(Specification!U187/2=0,#N/A,Specification!U187/2)</f>
        <v>#N/A</v>
      </c>
    </row>
    <row r="183" spans="1:5" x14ac:dyDescent="0.2">
      <c r="A183" t="e">
        <f>IF(-Specification!S188/2=0,#N/A,Specification!K188)</f>
        <v>#N/A</v>
      </c>
      <c r="B183" t="e">
        <f>IF(-Specification!S188/2=0,#N/A,-Specification!S188/2)</f>
        <v>#N/A</v>
      </c>
      <c r="C183" t="e">
        <f>IF(Specification!S188/2=0,#N/A,Specification!S188/2)</f>
        <v>#N/A</v>
      </c>
      <c r="D183" t="e">
        <f>IF(-Specification!U188/2=0,#N/A,-Specification!U188/2)</f>
        <v>#N/A</v>
      </c>
      <c r="E183" t="e">
        <f>IF(Specification!U188/2=0,#N/A,Specification!U188/2)</f>
        <v>#N/A</v>
      </c>
    </row>
    <row r="184" spans="1:5" x14ac:dyDescent="0.2">
      <c r="A184" t="e">
        <f>IF(-Specification!S189/2=0,#N/A,Specification!K189)</f>
        <v>#N/A</v>
      </c>
      <c r="B184" t="e">
        <f>IF(-Specification!S189/2=0,#N/A,-Specification!S189/2)</f>
        <v>#N/A</v>
      </c>
      <c r="C184" t="e">
        <f>IF(Specification!S189/2=0,#N/A,Specification!S189/2)</f>
        <v>#N/A</v>
      </c>
      <c r="D184" t="e">
        <f>IF(-Specification!U189/2=0,#N/A,-Specification!U189/2)</f>
        <v>#N/A</v>
      </c>
      <c r="E184" t="e">
        <f>IF(Specification!U189/2=0,#N/A,Specification!U189/2)</f>
        <v>#N/A</v>
      </c>
    </row>
    <row r="185" spans="1:5" x14ac:dyDescent="0.2">
      <c r="A185" t="e">
        <f>IF(-Specification!S190/2=0,#N/A,Specification!K190)</f>
        <v>#N/A</v>
      </c>
      <c r="B185" t="e">
        <f>IF(-Specification!S190/2=0,#N/A,-Specification!S190/2)</f>
        <v>#N/A</v>
      </c>
      <c r="C185" t="e">
        <f>IF(Specification!S190/2=0,#N/A,Specification!S190/2)</f>
        <v>#N/A</v>
      </c>
      <c r="D185" t="e">
        <f>IF(-Specification!U190/2=0,#N/A,-Specification!U190/2)</f>
        <v>#N/A</v>
      </c>
      <c r="E185" t="e">
        <f>IF(Specification!U190/2=0,#N/A,Specification!U190/2)</f>
        <v>#N/A</v>
      </c>
    </row>
    <row r="186" spans="1:5" x14ac:dyDescent="0.2">
      <c r="A186" t="e">
        <f>IF(-Specification!S191/2=0,#N/A,Specification!K191)</f>
        <v>#N/A</v>
      </c>
      <c r="B186" t="e">
        <f>IF(-Specification!S191/2=0,#N/A,-Specification!S191/2)</f>
        <v>#N/A</v>
      </c>
      <c r="C186" t="e">
        <f>IF(Specification!S191/2=0,#N/A,Specification!S191/2)</f>
        <v>#N/A</v>
      </c>
      <c r="D186" t="e">
        <f>IF(-Specification!U191/2=0,#N/A,-Specification!U191/2)</f>
        <v>#N/A</v>
      </c>
      <c r="E186" t="e">
        <f>IF(Specification!U191/2=0,#N/A,Specification!U191/2)</f>
        <v>#N/A</v>
      </c>
    </row>
    <row r="187" spans="1:5" x14ac:dyDescent="0.2">
      <c r="A187" t="e">
        <f>IF(-Specification!S192/2=0,#N/A,Specification!K192)</f>
        <v>#N/A</v>
      </c>
      <c r="B187" t="e">
        <f>IF(-Specification!S192/2=0,#N/A,-Specification!S192/2)</f>
        <v>#N/A</v>
      </c>
      <c r="C187" t="e">
        <f>IF(Specification!S192/2=0,#N/A,Specification!S192/2)</f>
        <v>#N/A</v>
      </c>
      <c r="D187" t="e">
        <f>IF(-Specification!U192/2=0,#N/A,-Specification!U192/2)</f>
        <v>#N/A</v>
      </c>
      <c r="E187" t="e">
        <f>IF(Specification!U192/2=0,#N/A,Specification!U192/2)</f>
        <v>#N/A</v>
      </c>
    </row>
    <row r="188" spans="1:5" x14ac:dyDescent="0.2">
      <c r="A188" t="e">
        <f>IF(-Specification!S193/2=0,#N/A,Specification!K193)</f>
        <v>#N/A</v>
      </c>
      <c r="B188" t="e">
        <f>IF(-Specification!S193/2=0,#N/A,-Specification!S193/2)</f>
        <v>#N/A</v>
      </c>
      <c r="C188" t="e">
        <f>IF(Specification!S193/2=0,#N/A,Specification!S193/2)</f>
        <v>#N/A</v>
      </c>
      <c r="D188" t="e">
        <f>IF(-Specification!U193/2=0,#N/A,-Specification!U193/2)</f>
        <v>#N/A</v>
      </c>
      <c r="E188" t="e">
        <f>IF(Specification!U193/2=0,#N/A,Specification!U193/2)</f>
        <v>#N/A</v>
      </c>
    </row>
  </sheetData>
  <pageMargins left="0.7" right="0.7" top="0.75" bottom="0.75" header="0.3" footer="0.3"/>
  <pageSetup paperSize="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G1:T24"/>
  <sheetViews>
    <sheetView topLeftCell="B1" workbookViewId="0">
      <selection activeCell="I33" sqref="I33"/>
    </sheetView>
  </sheetViews>
  <sheetFormatPr baseColWidth="10" defaultRowHeight="15" x14ac:dyDescent="0.2"/>
  <cols>
    <col min="9" max="9" width="19.5" customWidth="1"/>
  </cols>
  <sheetData>
    <row r="1" spans="7:20" x14ac:dyDescent="0.2">
      <c r="I1" t="s">
        <v>0</v>
      </c>
      <c r="J1" t="s">
        <v>1</v>
      </c>
    </row>
    <row r="3" spans="7:20" x14ac:dyDescent="0.2">
      <c r="I3" s="1" t="s">
        <v>2</v>
      </c>
      <c r="J3" s="1"/>
      <c r="K3" s="1">
        <v>138</v>
      </c>
      <c r="L3" s="1"/>
      <c r="R3" s="1" t="s">
        <v>3</v>
      </c>
      <c r="S3" s="1"/>
      <c r="T3" s="1">
        <v>137.5</v>
      </c>
    </row>
    <row r="4" spans="7:20" x14ac:dyDescent="0.2">
      <c r="I4" s="1"/>
      <c r="J4" s="1" t="s">
        <v>4</v>
      </c>
      <c r="K4" s="1">
        <f>K3/180*PI()</f>
        <v>2.408554367752175</v>
      </c>
      <c r="L4" s="1"/>
      <c r="R4" s="1"/>
      <c r="S4" s="1" t="s">
        <v>4</v>
      </c>
      <c r="T4" s="1">
        <f>T3/180*PI()</f>
        <v>2.399827721492203</v>
      </c>
    </row>
    <row r="6" spans="7:20" x14ac:dyDescent="0.2">
      <c r="J6" t="s">
        <v>5</v>
      </c>
      <c r="K6" t="s">
        <v>6</v>
      </c>
      <c r="N6" t="s">
        <v>7</v>
      </c>
      <c r="O6" t="s">
        <v>8</v>
      </c>
      <c r="R6" t="s">
        <v>9</v>
      </c>
      <c r="S6" t="s">
        <v>6</v>
      </c>
    </row>
    <row r="7" spans="7:20" x14ac:dyDescent="0.2">
      <c r="J7" t="s">
        <v>10</v>
      </c>
      <c r="K7" t="s">
        <v>11</v>
      </c>
      <c r="L7" t="s">
        <v>12</v>
      </c>
      <c r="N7" t="s">
        <v>10</v>
      </c>
      <c r="O7" t="s">
        <v>11</v>
      </c>
      <c r="P7" t="s">
        <v>12</v>
      </c>
      <c r="R7" t="s">
        <v>10</v>
      </c>
      <c r="S7" t="s">
        <v>11</v>
      </c>
      <c r="T7" t="s">
        <v>12</v>
      </c>
    </row>
    <row r="8" spans="7:20" x14ac:dyDescent="0.2">
      <c r="G8" t="s">
        <v>13</v>
      </c>
      <c r="I8" s="1" t="s">
        <v>14</v>
      </c>
      <c r="J8" s="2">
        <v>-54</v>
      </c>
      <c r="K8" s="2">
        <v>89</v>
      </c>
      <c r="L8" s="2">
        <v>137</v>
      </c>
      <c r="N8" s="3">
        <f>(-SIN(banglerad)*(J8-$J$8)+COS(banglerad)*(K8-$K$8))/1000</f>
        <v>0</v>
      </c>
      <c r="O8" s="3">
        <f>(L8-$L$8)/1000</f>
        <v>0</v>
      </c>
      <c r="P8" s="3">
        <f>(COS(banglerad)*(J8-$J$8)+SIN(banglerad)*(K8-$K$8))/1000</f>
        <v>0</v>
      </c>
      <c r="R8" s="4">
        <f>(COS($T$4)*(J8-$J$10)+SIN($T$4)*(K8-$K$10))</f>
        <v>-24.086371811479676</v>
      </c>
      <c r="S8" s="4">
        <f>(-SIN($T$4)*(J8-$J$10)+COS($T$4)*(K8-$K$10))</f>
        <v>-32.92182699910741</v>
      </c>
      <c r="T8" s="4">
        <f>(L8-$L$10)</f>
        <v>0</v>
      </c>
    </row>
    <row r="9" spans="7:20" x14ac:dyDescent="0.2">
      <c r="I9" s="1" t="s">
        <v>15</v>
      </c>
      <c r="J9" s="2">
        <v>-96</v>
      </c>
      <c r="K9" s="2">
        <v>81</v>
      </c>
      <c r="L9" s="2">
        <v>137</v>
      </c>
      <c r="N9" s="3">
        <f>(-SIN(banglerad)*(J9-$J$8)+COS(banglerad)*(K9-$K$8))/1000</f>
        <v>3.4048644070891192E-2</v>
      </c>
      <c r="O9" s="3">
        <f>(L9-$L$8)/1000</f>
        <v>0</v>
      </c>
      <c r="P9" s="3">
        <f>(COS(banglerad)*(J9-$J$8)+SIN(banglerad)*(K9-$K$8))/1000</f>
        <v>2.5859037819179698E-2</v>
      </c>
      <c r="R9" s="4">
        <f>(COS($T$4)*(J9-$J$10)+SIN($T$4)*(K9-$K$10))</f>
        <v>1.4745546736202479</v>
      </c>
      <c r="S9" s="4">
        <f>(-SIN($T$4)*(J9-$J$10)+COS($T$4)*(K9-$K$10))</f>
        <v>1.3511804152313207</v>
      </c>
      <c r="T9" s="4">
        <f>(L9-$L$10)</f>
        <v>0</v>
      </c>
    </row>
    <row r="10" spans="7:20" x14ac:dyDescent="0.2">
      <c r="I10" s="1" t="s">
        <v>16</v>
      </c>
      <c r="J10" s="2">
        <v>-94</v>
      </c>
      <c r="K10" s="2">
        <v>81</v>
      </c>
      <c r="L10" s="2">
        <v>137</v>
      </c>
      <c r="N10" s="3">
        <f>(-SIN(banglerad)*(J10-$J$8)+COS(banglerad)*(K10-$K$8))/1000</f>
        <v>3.2710382858173473E-2</v>
      </c>
      <c r="O10" s="3">
        <f>(L10-$L$8)/1000</f>
        <v>0</v>
      </c>
      <c r="P10" s="3">
        <f>(COS(banglerad)*(J10-$J$8)+SIN(banglerad)*(K10-$K$8))/1000</f>
        <v>2.4372748168224909E-2</v>
      </c>
      <c r="R10" s="4">
        <f>(COS($T$4)*(J10-$J$10)+SIN($T$4)*(K10-$K$10))</f>
        <v>0</v>
      </c>
      <c r="S10" s="4">
        <f>(-SIN($T$4)*(J10-$J$10)+COS($T$4)*(K10-$K$10))</f>
        <v>0</v>
      </c>
      <c r="T10" s="4">
        <f>(L10-$L$10)</f>
        <v>0</v>
      </c>
    </row>
    <row r="14" spans="7:20" x14ac:dyDescent="0.2">
      <c r="G14" t="s">
        <v>17</v>
      </c>
      <c r="I14" t="s">
        <v>18</v>
      </c>
      <c r="J14" s="5">
        <f>(COS(-banglerad)*P14+SIN(-banglerad)*N14)*1000+$J$8</f>
        <v>-1474.6738662897142</v>
      </c>
      <c r="K14" s="5">
        <f>(-SIN(-banglerad)*P14+COS(-banglerad)*N14)*1000+$K$8</f>
        <v>1350.6872693506241</v>
      </c>
      <c r="L14">
        <f>O14/1000+137</f>
        <v>137</v>
      </c>
      <c r="N14" s="6">
        <v>1.2999999999999999E-2</v>
      </c>
      <c r="O14" s="6">
        <v>0</v>
      </c>
      <c r="P14" s="6">
        <v>1.9</v>
      </c>
      <c r="R14" s="5">
        <f>(COS($T$4)*(J14-$J$10)+SIN($T$4)*(K14-$K$10))</f>
        <v>1875.7278370489666</v>
      </c>
      <c r="S14" s="5">
        <f>(-SIN($T$4)*(J14-$J$10)+COS($T$4)*(K14-$K$10))</f>
        <v>-3.3419045523621662</v>
      </c>
      <c r="T14" s="5">
        <f>(L14-$L$10)</f>
        <v>0</v>
      </c>
    </row>
    <row r="15" spans="7:20" x14ac:dyDescent="0.2">
      <c r="I15" t="s">
        <v>19</v>
      </c>
      <c r="J15" s="5">
        <f>(COS(-$T$4)*R15+SIN(-$T$4)*S15)+$J$10</f>
        <v>-94</v>
      </c>
      <c r="K15" s="5">
        <f>(-SIN(-$T$4)*R15+COS(-$T$4)*S15)+$K$10</f>
        <v>81</v>
      </c>
      <c r="L15">
        <f>(T15+$L$10)</f>
        <v>137</v>
      </c>
      <c r="N15" s="7">
        <f>(-SIN(banglerad)*(J15-$J$8)+COS(banglerad)*(K15-$K$8))/1000</f>
        <v>3.2710382858173473E-2</v>
      </c>
      <c r="O15" s="7">
        <f>(L15-$L$8)/1000</f>
        <v>0</v>
      </c>
      <c r="P15" s="7">
        <f>(COS(banglerad)*(J15-$J$8)+SIN(banglerad)*(K15-$K$8))/1000</f>
        <v>2.4372748168224909E-2</v>
      </c>
      <c r="R15" s="8">
        <v>0</v>
      </c>
      <c r="S15" s="8">
        <v>0</v>
      </c>
      <c r="T15" s="8">
        <v>0</v>
      </c>
    </row>
    <row r="22" spans="7:20" x14ac:dyDescent="0.2">
      <c r="G22" t="s">
        <v>144</v>
      </c>
      <c r="J22" s="5">
        <f>(COS(-banglerad)*P22+SIN(-banglerad)*N22)*1000+$J$8</f>
        <v>-1474.6738662897142</v>
      </c>
      <c r="K22" s="5">
        <f>(-SIN(-banglerad)*P22+COS(-banglerad)*N22)*1000+$K$8</f>
        <v>1350.6872693506241</v>
      </c>
      <c r="L22">
        <f>O22/1000+137</f>
        <v>137</v>
      </c>
      <c r="N22" s="6">
        <v>1.2999999999999999E-2</v>
      </c>
      <c r="O22" s="6">
        <v>0</v>
      </c>
      <c r="P22" s="6">
        <v>1.9</v>
      </c>
      <c r="R22" s="5">
        <f>(COS($T$4)*((COS(-banglerad)*P22+SIN(-banglerad)*N22)*1000+$J$8-$J$10)+SIN($T$4)*((-SIN(-banglerad)*P22+COS(-banglerad)*N22)*1000+$K$8-$K$10))</f>
        <v>1875.7278370489666</v>
      </c>
      <c r="S22" s="5">
        <f>(-SIN($T$4)*((COS(-banglerad)*P22+SIN(-banglerad)*N22)*1000+$J$8-$J$10)+COS($T$4)*((-SIN(-banglerad)*P22+COS(-banglerad)*N22)*1000+$K$8-$K$10))</f>
        <v>-3.3419045523621662</v>
      </c>
      <c r="T22" s="5">
        <f t="shared" ref="T22:T23" si="0">(O22*1000)</f>
        <v>0</v>
      </c>
    </row>
    <row r="23" spans="7:20" x14ac:dyDescent="0.2">
      <c r="N23">
        <v>0</v>
      </c>
      <c r="O23">
        <v>0</v>
      </c>
      <c r="P23">
        <v>2.4</v>
      </c>
      <c r="R23" s="5">
        <f>(COS($T$4)*((COS(-banglerad)*P23+SIN(-banglerad)*N23)*1000+$J$8-$J$10)+SIN($T$4)*((-SIN(-banglerad)*P23+COS(-banglerad)*N23)*1000+$K$8-$K$10))</f>
        <v>2375.8222435425314</v>
      </c>
      <c r="S23" s="5">
        <f>(-SIN($T$4)*((COS(-banglerad)*P23+SIN(-banglerad)*N23)*1000+$J$8-$J$10)+COS($T$4)*((-SIN(-banglerad)*P23+COS(-banglerad)*N23)*1000+$K$8-$K$10))</f>
        <v>-11.978141803009066</v>
      </c>
      <c r="T23" s="5">
        <f t="shared" si="0"/>
        <v>0</v>
      </c>
    </row>
    <row r="24" spans="7:20" x14ac:dyDescent="0.2">
      <c r="N24">
        <v>0</v>
      </c>
      <c r="O24">
        <v>-0.4</v>
      </c>
      <c r="P24">
        <v>5</v>
      </c>
      <c r="R24" s="5">
        <f>(COS($T$4)*((COS(-banglerad)*P24+SIN(-banglerad)*N24)*1000+$J$8-$J$10)+SIN($T$4)*((-SIN(-banglerad)*P24+COS(-banglerad)*N24)*1000+$K$8-$K$10))</f>
        <v>4975.7232435093765</v>
      </c>
      <c r="S24" s="5">
        <f>(-SIN($T$4)*((COS(-banglerad)*P24+SIN(-banglerad)*N24)*1000+$J$8-$J$10)+COS($T$4)*((-SIN(-banglerad)*P24+COS(-banglerad)*N24)*1000+$K$8-$K$10))</f>
        <v>10.710850492764166</v>
      </c>
      <c r="T24" s="5">
        <f>(O24*1000)</f>
        <v>-400</v>
      </c>
    </row>
  </sheetData>
  <pageMargins left="0.7" right="0.7" top="0.78740157499999996" bottom="0.78740157499999996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Specification</vt:lpstr>
      <vt:lpstr>Hilfstabelle_Geometrie</vt:lpstr>
      <vt:lpstr>Coords-Trans</vt:lpstr>
      <vt:lpstr>Geometry Plot</vt:lpstr>
      <vt:lpstr>Trajectory ISCS</vt:lpstr>
      <vt:lpstr>Trajectory McStas</vt:lpstr>
      <vt:lpstr>banglerad</vt:lpstr>
      <vt:lpstr>bunkerx</vt:lpstr>
      <vt:lpstr>bunkery</vt:lpstr>
      <vt:lpstr>bunkerz</vt:lpstr>
      <vt:lpstr>bw1x</vt:lpstr>
      <vt:lpstr>bw1y</vt:lpstr>
      <vt:lpstr>bw1z</vt:lpstr>
      <vt:lpstr>bw2x</vt:lpstr>
      <vt:lpstr>bw2y</vt:lpstr>
      <vt:lpstr>bw2z</vt:lpstr>
      <vt:lpstr>bw3z</vt:lpstr>
      <vt:lpstr>eof_bender_z</vt:lpstr>
      <vt:lpstr>m1z</vt:lpstr>
      <vt:lpstr>pdx</vt:lpstr>
      <vt:lpstr>pdy</vt:lpstr>
      <vt:lpstr>pdz</vt:lpstr>
      <vt:lpstr>Specification!Print_Area</vt:lpstr>
      <vt:lpstr>ps1z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2018-05-07T08:26:07Z</cp:lastPrinted>
  <dcterms:created xsi:type="dcterms:W3CDTF">2006-09-16T00:00:00Z</dcterms:created>
  <dcterms:modified xsi:type="dcterms:W3CDTF">2018-05-07T19:07:52Z</dcterms:modified>
</cp:coreProperties>
</file>