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95" yWindow="105" windowWidth="28740" windowHeight="16650" activeTab="1"/>
  </bookViews>
  <sheets>
    <sheet name="Budget Labor Overview" sheetId="5" r:id="rId1"/>
    <sheet name="Budget Total Overview" sheetId="1" r:id="rId2"/>
    <sheet name="Changed Items for Option 1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45621"/>
</workbook>
</file>

<file path=xl/calcChain.xml><?xml version="1.0" encoding="utf-8"?>
<calcChain xmlns="http://schemas.openxmlformats.org/spreadsheetml/2006/main">
  <c r="I27" i="2" l="1"/>
  <c r="J27" i="2"/>
  <c r="K27" i="2"/>
  <c r="L27" i="2"/>
  <c r="H27" i="2"/>
  <c r="I29" i="2"/>
  <c r="J29" i="2"/>
  <c r="K29" i="2"/>
  <c r="L29" i="2"/>
  <c r="M29" i="2"/>
  <c r="H29" i="2"/>
  <c r="E27" i="2"/>
  <c r="D27" i="2"/>
  <c r="C27" i="2"/>
  <c r="D21" i="2"/>
  <c r="C21" i="2"/>
  <c r="D18" i="2"/>
  <c r="C18" i="2"/>
  <c r="D29" i="2"/>
  <c r="E29" i="2"/>
  <c r="C29" i="2"/>
  <c r="I20" i="2" l="1"/>
  <c r="J20" i="2"/>
  <c r="K20" i="2"/>
  <c r="L20" i="2"/>
  <c r="H20" i="2"/>
  <c r="D20" i="2"/>
  <c r="C20" i="2"/>
  <c r="E21" i="2"/>
  <c r="B20" i="2"/>
  <c r="E15" i="1"/>
  <c r="E20" i="2" l="1"/>
  <c r="E6" i="5"/>
  <c r="L7" i="2"/>
  <c r="I19" i="2" l="1"/>
  <c r="K7" i="2" l="1"/>
  <c r="J7" i="2"/>
  <c r="I7" i="2"/>
  <c r="H7" i="2"/>
  <c r="K6" i="2"/>
  <c r="J6" i="2"/>
  <c r="E13" i="1"/>
  <c r="E38" i="2" s="1"/>
  <c r="F38" i="2" s="1"/>
  <c r="E14" i="1"/>
  <c r="F14" i="1" s="1"/>
  <c r="C38" i="2"/>
  <c r="D38" i="2"/>
  <c r="B38" i="2"/>
  <c r="E18" i="2"/>
  <c r="L19" i="2"/>
  <c r="J19" i="2"/>
  <c r="H19" i="2"/>
  <c r="F13" i="1" l="1"/>
  <c r="D5" i="2"/>
  <c r="E7" i="2"/>
  <c r="E6" i="2"/>
  <c r="H2" i="2" l="1"/>
  <c r="K22" i="2"/>
  <c r="E22" i="2"/>
  <c r="M39" i="2" l="1"/>
  <c r="L39" i="2"/>
  <c r="K39" i="2"/>
  <c r="J39" i="2"/>
  <c r="I39" i="2"/>
  <c r="H39" i="2"/>
  <c r="D39" i="2"/>
  <c r="C39" i="2"/>
  <c r="B39" i="2"/>
  <c r="M26" i="2"/>
  <c r="L26" i="2"/>
  <c r="K26" i="2"/>
  <c r="J26" i="2"/>
  <c r="I26" i="2"/>
  <c r="H26" i="2"/>
  <c r="F26" i="2"/>
  <c r="E26" i="2"/>
  <c r="D26" i="2"/>
  <c r="C26" i="2"/>
  <c r="B26" i="2"/>
  <c r="A26" i="2"/>
  <c r="K19" i="2" l="1"/>
  <c r="L17" i="2"/>
  <c r="K17" i="2"/>
  <c r="J17" i="2"/>
  <c r="I17" i="2"/>
  <c r="L16" i="2"/>
  <c r="K16" i="2"/>
  <c r="J16" i="2"/>
  <c r="I16" i="2"/>
  <c r="L15" i="2"/>
  <c r="K15" i="2"/>
  <c r="J15" i="2"/>
  <c r="I15" i="2"/>
  <c r="K14" i="2"/>
  <c r="J14" i="2"/>
  <c r="K12" i="2"/>
  <c r="J10" i="2"/>
  <c r="K10" i="2"/>
  <c r="L10" i="2"/>
  <c r="I10" i="2"/>
  <c r="K5" i="2"/>
  <c r="K4" i="2"/>
  <c r="J5" i="2"/>
  <c r="J4" i="2"/>
  <c r="H18" i="1"/>
  <c r="H3" i="1"/>
  <c r="I3" i="1"/>
  <c r="J3" i="1"/>
  <c r="K3" i="1"/>
  <c r="L3" i="1"/>
  <c r="H5" i="1"/>
  <c r="I5" i="1"/>
  <c r="J5" i="1"/>
  <c r="K5" i="1"/>
  <c r="L5" i="1"/>
  <c r="H6" i="1"/>
  <c r="I6" i="1"/>
  <c r="J6" i="1"/>
  <c r="K6" i="1"/>
  <c r="L6" i="1"/>
  <c r="H7" i="1"/>
  <c r="I7" i="1"/>
  <c r="J7" i="1"/>
  <c r="K7" i="1"/>
  <c r="L7" i="1"/>
  <c r="H8" i="1"/>
  <c r="I8" i="1"/>
  <c r="J8" i="1"/>
  <c r="K8" i="1"/>
  <c r="L8" i="1"/>
  <c r="H9" i="1"/>
  <c r="I9" i="1"/>
  <c r="J9" i="1"/>
  <c r="K9" i="1"/>
  <c r="L9" i="1"/>
  <c r="H10" i="1"/>
  <c r="I10" i="1"/>
  <c r="J10" i="1"/>
  <c r="K10" i="1"/>
  <c r="L10" i="1"/>
  <c r="H11" i="1"/>
  <c r="I11" i="1"/>
  <c r="J11" i="1"/>
  <c r="K11" i="1"/>
  <c r="L11" i="1"/>
  <c r="H12" i="1"/>
  <c r="I12" i="1"/>
  <c r="J12" i="1"/>
  <c r="K12" i="1"/>
  <c r="L12" i="1"/>
  <c r="I2" i="2" l="1"/>
  <c r="I18" i="1" s="1"/>
  <c r="K37" i="2"/>
  <c r="J34" i="2"/>
  <c r="M11" i="1"/>
  <c r="H36" i="2"/>
  <c r="I34" i="2"/>
  <c r="K36" i="2"/>
  <c r="M8" i="1"/>
  <c r="J33" i="2"/>
  <c r="M9" i="1"/>
  <c r="J37" i="2"/>
  <c r="I37" i="2"/>
  <c r="H34" i="2"/>
  <c r="M12" i="1"/>
  <c r="H37" i="2"/>
  <c r="L33" i="2"/>
  <c r="L36" i="2"/>
  <c r="K33" i="2"/>
  <c r="J36" i="2"/>
  <c r="L34" i="2"/>
  <c r="I33" i="2"/>
  <c r="L37" i="2"/>
  <c r="I36" i="2"/>
  <c r="K34" i="2"/>
  <c r="H33" i="2"/>
  <c r="K35" i="2"/>
  <c r="I35" i="2"/>
  <c r="L35" i="2"/>
  <c r="J35" i="2"/>
  <c r="M10" i="1"/>
  <c r="H35" i="2"/>
  <c r="L32" i="2"/>
  <c r="J32" i="2"/>
  <c r="K32" i="2"/>
  <c r="I32" i="2"/>
  <c r="M7" i="1"/>
  <c r="H32" i="2"/>
  <c r="L30" i="2"/>
  <c r="K30" i="2"/>
  <c r="J30" i="2"/>
  <c r="I30" i="2"/>
  <c r="M5" i="1"/>
  <c r="H30" i="2"/>
  <c r="H28" i="2"/>
  <c r="K28" i="2"/>
  <c r="J28" i="2"/>
  <c r="L28" i="2"/>
  <c r="I28" i="2"/>
  <c r="H31" i="2"/>
  <c r="L31" i="2"/>
  <c r="I31" i="2"/>
  <c r="K31" i="2"/>
  <c r="J31" i="2"/>
  <c r="M6" i="1"/>
  <c r="M3" i="1"/>
  <c r="M30" i="2" l="1"/>
  <c r="M34" i="2"/>
  <c r="M33" i="2"/>
  <c r="M36" i="2"/>
  <c r="M37" i="2"/>
  <c r="M35" i="2"/>
  <c r="M32" i="2"/>
  <c r="M28" i="2"/>
  <c r="M31" i="2"/>
  <c r="E14" i="2" l="1"/>
  <c r="E19" i="2"/>
  <c r="E17" i="2"/>
  <c r="C10" i="2" l="1"/>
  <c r="D10" i="2"/>
  <c r="B10" i="2"/>
  <c r="B2" i="1"/>
  <c r="E5" i="2"/>
  <c r="E12" i="2"/>
  <c r="E15" i="2"/>
  <c r="E4" i="2"/>
  <c r="D2" i="2" l="1"/>
  <c r="D18" i="1" s="1"/>
  <c r="C2" i="2"/>
  <c r="B27" i="2"/>
  <c r="E9" i="2"/>
  <c r="E10" i="2"/>
  <c r="E2" i="2" l="1"/>
  <c r="C18" i="1"/>
  <c r="E18" i="1" l="1"/>
  <c r="F18" i="1" s="1"/>
  <c r="E16" i="1" l="1"/>
  <c r="A2" i="1"/>
  <c r="A3" i="1"/>
  <c r="B3" i="1"/>
  <c r="D3" i="1"/>
  <c r="A4" i="1"/>
  <c r="B4" i="1"/>
  <c r="A5" i="1"/>
  <c r="B5" i="1"/>
  <c r="C5" i="1"/>
  <c r="D5" i="1"/>
  <c r="A6" i="1"/>
  <c r="B6" i="1"/>
  <c r="C6" i="1"/>
  <c r="D6" i="1"/>
  <c r="A7" i="1"/>
  <c r="B7" i="1"/>
  <c r="C7" i="1"/>
  <c r="D7" i="1"/>
  <c r="A8" i="1"/>
  <c r="B8" i="1"/>
  <c r="C8" i="1"/>
  <c r="D8" i="1"/>
  <c r="A9" i="1"/>
  <c r="B9" i="1"/>
  <c r="C9" i="1"/>
  <c r="D9" i="1"/>
  <c r="A10" i="1"/>
  <c r="B10" i="1"/>
  <c r="C10" i="1"/>
  <c r="D10" i="1"/>
  <c r="A11" i="1"/>
  <c r="B11" i="1"/>
  <c r="C11" i="1"/>
  <c r="D11" i="1"/>
  <c r="A12" i="1"/>
  <c r="B12" i="1"/>
  <c r="C12" i="1"/>
  <c r="D12" i="1"/>
  <c r="C37" i="2" l="1"/>
  <c r="C33" i="2"/>
  <c r="B37" i="2"/>
  <c r="B33" i="2"/>
  <c r="A37" i="2"/>
  <c r="A33" i="2"/>
  <c r="D36" i="2"/>
  <c r="D34" i="2"/>
  <c r="C36" i="2"/>
  <c r="C34" i="2"/>
  <c r="B36" i="2"/>
  <c r="B34" i="2"/>
  <c r="A36" i="2"/>
  <c r="A34" i="2"/>
  <c r="D37" i="2"/>
  <c r="D33" i="2"/>
  <c r="F16" i="1"/>
  <c r="E39" i="2"/>
  <c r="F39" i="2" s="1"/>
  <c r="B35" i="2"/>
  <c r="E10" i="1"/>
  <c r="D35" i="2"/>
  <c r="C35" i="2"/>
  <c r="A35" i="2"/>
  <c r="C32" i="2"/>
  <c r="D32" i="2"/>
  <c r="B32" i="2"/>
  <c r="A32" i="2"/>
  <c r="B30" i="2"/>
  <c r="D30" i="2"/>
  <c r="A30" i="2"/>
  <c r="C30" i="2"/>
  <c r="B28" i="2"/>
  <c r="A28" i="2"/>
  <c r="D28" i="2"/>
  <c r="B31" i="2"/>
  <c r="C31" i="2"/>
  <c r="A31" i="2"/>
  <c r="D31" i="2"/>
  <c r="A27" i="2"/>
  <c r="B29" i="2"/>
  <c r="A29" i="2"/>
  <c r="E9" i="1"/>
  <c r="E8" i="1"/>
  <c r="E11" i="1"/>
  <c r="E7" i="1"/>
  <c r="E5" i="1"/>
  <c r="E12" i="1"/>
  <c r="E6" i="1"/>
  <c r="E36" i="2" l="1"/>
  <c r="F36" i="2" s="1"/>
  <c r="F11" i="1"/>
  <c r="E33" i="2"/>
  <c r="F33" i="2" s="1"/>
  <c r="F8" i="1"/>
  <c r="E37" i="2"/>
  <c r="F37" i="2" s="1"/>
  <c r="F12" i="1"/>
  <c r="E34" i="2"/>
  <c r="F34" i="2" s="1"/>
  <c r="F9" i="1"/>
  <c r="E35" i="2"/>
  <c r="F35" i="2" s="1"/>
  <c r="F10" i="1"/>
  <c r="F7" i="1"/>
  <c r="E32" i="2"/>
  <c r="F32" i="2" s="1"/>
  <c r="E30" i="2"/>
  <c r="F30" i="2" s="1"/>
  <c r="F5" i="1"/>
  <c r="F6" i="1"/>
  <c r="E31" i="2"/>
  <c r="F31" i="2" s="1"/>
  <c r="C3" i="1"/>
  <c r="C28" i="2" s="1"/>
  <c r="E3" i="1" l="1"/>
  <c r="F3" i="1" l="1"/>
  <c r="E28" i="2"/>
  <c r="F28" i="2" s="1"/>
  <c r="J9" i="2" l="1"/>
  <c r="K9" i="2"/>
  <c r="L9" i="2"/>
  <c r="L2" i="2" l="1"/>
  <c r="L18" i="1" s="1"/>
  <c r="K2" i="2"/>
  <c r="K18" i="1" s="1"/>
  <c r="J2" i="2"/>
  <c r="J18" i="1" s="1"/>
  <c r="M18" i="1" l="1"/>
  <c r="B9" i="2"/>
  <c r="B19" i="2" l="1"/>
  <c r="K4" i="1" l="1"/>
  <c r="L4" i="1"/>
  <c r="I4" i="1" l="1"/>
  <c r="J4" i="1"/>
  <c r="H4" i="1"/>
  <c r="M4" i="1" l="1"/>
  <c r="D4" i="1" l="1"/>
  <c r="C4" i="1" l="1"/>
  <c r="E4" i="1" l="1"/>
  <c r="F29" i="2" s="1"/>
  <c r="F4" i="1" l="1"/>
  <c r="F6" i="5" l="1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5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5" i="5"/>
  <c r="D3" i="5" l="1"/>
  <c r="E3" i="5"/>
  <c r="C3" i="5"/>
  <c r="F3" i="5"/>
  <c r="B3" i="5"/>
  <c r="G3" i="5" l="1"/>
  <c r="H2" i="1"/>
  <c r="H21" i="1" s="1"/>
  <c r="L2" i="1"/>
  <c r="L21" i="1" s="1"/>
  <c r="I2" i="1"/>
  <c r="I21" i="1" s="1"/>
  <c r="J2" i="1"/>
  <c r="J21" i="1" s="1"/>
  <c r="K2" i="1"/>
  <c r="K21" i="1" s="1"/>
  <c r="I41" i="2" l="1"/>
  <c r="I20" i="1"/>
  <c r="K41" i="2"/>
  <c r="K20" i="1"/>
  <c r="L41" i="2"/>
  <c r="L20" i="1"/>
  <c r="J41" i="2"/>
  <c r="J20" i="1"/>
  <c r="M2" i="1"/>
  <c r="H20" i="1"/>
  <c r="M27" i="2" l="1"/>
  <c r="M41" i="2" s="1"/>
  <c r="H41" i="2"/>
  <c r="M20" i="1"/>
  <c r="M21" i="1"/>
  <c r="D2" i="1" l="1"/>
  <c r="D21" i="1" s="1"/>
  <c r="D41" i="2" l="1"/>
  <c r="D20" i="1"/>
  <c r="C2" i="1" l="1"/>
  <c r="C21" i="1" s="1"/>
  <c r="E21" i="1" l="1"/>
  <c r="F21" i="1" s="1"/>
  <c r="C20" i="1"/>
  <c r="E20" i="1" s="1"/>
  <c r="F20" i="1" s="1"/>
  <c r="C41" i="2"/>
  <c r="E2" i="1"/>
  <c r="F2" i="1" l="1"/>
  <c r="F27" i="2" l="1"/>
  <c r="E41" i="2"/>
  <c r="F41" i="2" s="1"/>
</calcChain>
</file>

<file path=xl/sharedStrings.xml><?xml version="1.0" encoding="utf-8"?>
<sst xmlns="http://schemas.openxmlformats.org/spreadsheetml/2006/main" count="89" uniqueCount="69">
  <si>
    <t>PBS</t>
  </si>
  <si>
    <t>Item</t>
  </si>
  <si>
    <t>Phase 1</t>
  </si>
  <si>
    <t>Total Labor [k€]</t>
  </si>
  <si>
    <t>Total non-Labor [k€]</t>
  </si>
  <si>
    <t>Both [k€]</t>
  </si>
  <si>
    <t>Both + 10% Contingency [k€]</t>
  </si>
  <si>
    <t>Difference Option 1 (Cost Category)</t>
  </si>
  <si>
    <t>Total Diff.</t>
  </si>
  <si>
    <t>chng</t>
  </si>
  <si>
    <t>add</t>
  </si>
  <si>
    <t>remove</t>
  </si>
  <si>
    <t>One vertical beam path (half mirrors)</t>
  </si>
  <si>
    <t>Total Initial Construction Costs (O1)</t>
  </si>
  <si>
    <t>Total Initial Construction Costs (O2)</t>
  </si>
  <si>
    <t>Virtual Source X+Z Stages</t>
  </si>
  <si>
    <t>Cryomagnet</t>
  </si>
  <si>
    <t>Cryostat</t>
  </si>
  <si>
    <t>Sample Changer</t>
  </si>
  <si>
    <t>Sample Z,Chi Motorized Stages</t>
  </si>
  <si>
    <t>Work 02 [y]</t>
  </si>
  <si>
    <t>Work 03 [y]</t>
  </si>
  <si>
    <t>Work 04 [y]</t>
  </si>
  <si>
    <t>Work 05 [y]</t>
  </si>
  <si>
    <t>Work 06 [y]</t>
  </si>
  <si>
    <t>Total [y]</t>
  </si>
  <si>
    <t>Work 02</t>
  </si>
  <si>
    <t>Work 03</t>
  </si>
  <si>
    <t>Work 04</t>
  </si>
  <si>
    <t>Work 05</t>
  </si>
  <si>
    <t>Work 06</t>
  </si>
  <si>
    <t>Second Detector</t>
  </si>
  <si>
    <t>14/15 Vertical Mirrors</t>
  </si>
  <si>
    <t>Travel Costs</t>
  </si>
  <si>
    <t>R&amp;D Selene Guide</t>
  </si>
  <si>
    <t>Reduced biological shielding</t>
  </si>
  <si>
    <t>Selene Metrology</t>
  </si>
  <si>
    <t>Local Contractor</t>
  </si>
  <si>
    <t>PM</t>
  </si>
  <si>
    <t>Design</t>
  </si>
  <si>
    <t>Prod</t>
  </si>
  <si>
    <t>Inst</t>
  </si>
  <si>
    <t>Comm</t>
  </si>
  <si>
    <t>Labor</t>
  </si>
  <si>
    <t>Type</t>
  </si>
  <si>
    <t>Senior Scientist</t>
  </si>
  <si>
    <t>Scientist</t>
  </si>
  <si>
    <t>Post Doc</t>
  </si>
  <si>
    <t>Senior Engineer</t>
  </si>
  <si>
    <t>Engineer</t>
  </si>
  <si>
    <t>Junior Engineer</t>
  </si>
  <si>
    <t>Senior Technician</t>
  </si>
  <si>
    <t>Technician</t>
  </si>
  <si>
    <t>Junior Technician</t>
  </si>
  <si>
    <t>Craftsman</t>
  </si>
  <si>
    <t>Admin Assistant</t>
  </si>
  <si>
    <t>Project  Admin. Support</t>
  </si>
  <si>
    <t>PSI - Electro Technician</t>
  </si>
  <si>
    <t>PSI - Projectleader</t>
  </si>
  <si>
    <t>PSI - Senior Scientist</t>
  </si>
  <si>
    <t xml:space="preserve">PSI - Scientist, Engineer </t>
  </si>
  <si>
    <t>PSI - Technician, Postdoc</t>
  </si>
  <si>
    <t>PSI - Craftsman,  Admin.</t>
  </si>
  <si>
    <t>PSI - PHD</t>
  </si>
  <si>
    <t>Total Labor</t>
  </si>
  <si>
    <t>Workmonths/year</t>
  </si>
  <si>
    <t>Craftsman + Machinetime 1</t>
  </si>
  <si>
    <t>Craftsman + Machinetime 2</t>
  </si>
  <si>
    <t xml:space="preserve">Qualified Person [FTE] / Project Status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</si>
</sst>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6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64" fontId="0" fillId="0" borderId="0" xfId="0" applyNumberFormat="1"/>
    <xf numFmtId="0" fontId="2" fillId="0" borderId="0" xfId="0" applyFont="1"/>
    <xf numFmtId="0" fontId="1" fillId="0" borderId="0" xfId="0" applyFont="1"/>
    <xf numFmtId="164" fontId="3" fillId="0" borderId="0" xfId="0" applyNumberFormat="1" applyFont="1"/>
    <xf numFmtId="0" fontId="4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164" fontId="6" fillId="0" borderId="0" xfId="0" applyNumberFormat="1" applyFont="1"/>
    <xf numFmtId="164" fontId="7" fillId="0" borderId="0" xfId="0" applyNumberFormat="1" applyFont="1"/>
    <xf numFmtId="2" fontId="0" fillId="0" borderId="0" xfId="0" applyNumberFormat="1"/>
    <xf numFmtId="165" fontId="1" fillId="0" borderId="0" xfId="0" applyNumberFormat="1" applyFont="1"/>
    <xf numFmtId="164" fontId="9" fillId="0" borderId="0" xfId="0" applyNumberFormat="1" applyFont="1"/>
    <xf numFmtId="164" fontId="10" fillId="0" borderId="0" xfId="0" applyNumberFormat="1" applyFont="1"/>
    <xf numFmtId="0" fontId="8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A5CC"/>
      <color rgb="FF7AE5FE"/>
      <color rgb="FF97BAE1"/>
      <color rgb="FFAB69BF"/>
      <color rgb="FF7BFDD5"/>
      <color rgb="FF5CEBFE"/>
      <color rgb="FF66FFCC"/>
      <color rgb="FF87429C"/>
      <color rgb="FFCE64A3"/>
      <color rgb="FFD45E5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Qualified Person [FTE] / Project Status 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1.1208064351748717E-2"/>
          <c:y val="7.22802641080673E-3"/>
          <c:w val="0.84076520856893133"/>
          <c:h val="0.95717779991828345"/>
        </c:manualLayout>
      </c:layout>
      <c:barChart>
        <c:barDir val="col"/>
        <c:grouping val="stacked"/>
        <c:varyColors val="0"/>
        <c:ser>
          <c:idx val="18"/>
          <c:order val="0"/>
          <c:tx>
            <c:strRef>
              <c:f>'Budget Labor Overview'!$A$21</c:f>
              <c:strCache>
                <c:ptCount val="1"/>
                <c:pt idx="0">
                  <c:v>PSI - Senior Scientist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</c:spPr>
          <c:invertIfNegative val="0"/>
          <c:cat>
            <c:strRef>
              <c:f>'Budget Labor Overview'!$B$2:$F$2</c:f>
              <c:strCache>
                <c:ptCount val="5"/>
                <c:pt idx="0">
                  <c:v>PM</c:v>
                </c:pt>
                <c:pt idx="1">
                  <c:v>Design</c:v>
                </c:pt>
                <c:pt idx="2">
                  <c:v>Prod</c:v>
                </c:pt>
                <c:pt idx="3">
                  <c:v>Inst</c:v>
                </c:pt>
                <c:pt idx="4">
                  <c:v>Comm</c:v>
                </c:pt>
              </c:strCache>
            </c:strRef>
          </c:cat>
          <c:val>
            <c:numRef>
              <c:f>'Budget Labor Overview'!$B$21:$F$21</c:f>
              <c:numCache>
                <c:formatCode>General</c:formatCode>
                <c:ptCount val="5"/>
                <c:pt idx="0">
                  <c:v>0.85357142857142854</c:v>
                </c:pt>
                <c:pt idx="1">
                  <c:v>1.9571428571428571</c:v>
                </c:pt>
                <c:pt idx="2">
                  <c:v>0.1</c:v>
                </c:pt>
                <c:pt idx="3">
                  <c:v>0.2</c:v>
                </c:pt>
                <c:pt idx="4">
                  <c:v>1.0178571428571428</c:v>
                </c:pt>
              </c:numCache>
            </c:numRef>
          </c:val>
        </c:ser>
        <c:ser>
          <c:idx val="19"/>
          <c:order val="1"/>
          <c:tx>
            <c:strRef>
              <c:f>'Budget Labor Overview'!$A$22</c:f>
              <c:strCache>
                <c:ptCount val="1"/>
                <c:pt idx="0">
                  <c:v>PSI - Scientist, Engineer 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'Budget Labor Overview'!$B$2:$F$2</c:f>
              <c:strCache>
                <c:ptCount val="5"/>
                <c:pt idx="0">
                  <c:v>PM</c:v>
                </c:pt>
                <c:pt idx="1">
                  <c:v>Design</c:v>
                </c:pt>
                <c:pt idx="2">
                  <c:v>Prod</c:v>
                </c:pt>
                <c:pt idx="3">
                  <c:v>Inst</c:v>
                </c:pt>
                <c:pt idx="4">
                  <c:v>Comm</c:v>
                </c:pt>
              </c:strCache>
            </c:strRef>
          </c:cat>
          <c:val>
            <c:numRef>
              <c:f>'Budget Labor Overview'!$B$22:$F$22</c:f>
              <c:numCache>
                <c:formatCode>General</c:formatCode>
                <c:ptCount val="5"/>
                <c:pt idx="0">
                  <c:v>1.1988095238095238</c:v>
                </c:pt>
                <c:pt idx="1">
                  <c:v>4.1827380952380953</c:v>
                </c:pt>
                <c:pt idx="2">
                  <c:v>0.46666666666666667</c:v>
                </c:pt>
                <c:pt idx="3">
                  <c:v>0.87857142857142856</c:v>
                </c:pt>
                <c:pt idx="4">
                  <c:v>1.1601190476190477</c:v>
                </c:pt>
              </c:numCache>
            </c:numRef>
          </c:val>
        </c:ser>
        <c:ser>
          <c:idx val="20"/>
          <c:order val="2"/>
          <c:tx>
            <c:strRef>
              <c:f>'Budget Labor Overview'!$A$23</c:f>
              <c:strCache>
                <c:ptCount val="1"/>
                <c:pt idx="0">
                  <c:v>PSI - Technician, Postdoc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strRef>
              <c:f>'Budget Labor Overview'!$B$2:$F$2</c:f>
              <c:strCache>
                <c:ptCount val="5"/>
                <c:pt idx="0">
                  <c:v>PM</c:v>
                </c:pt>
                <c:pt idx="1">
                  <c:v>Design</c:v>
                </c:pt>
                <c:pt idx="2">
                  <c:v>Prod</c:v>
                </c:pt>
                <c:pt idx="3">
                  <c:v>Inst</c:v>
                </c:pt>
                <c:pt idx="4">
                  <c:v>Comm</c:v>
                </c:pt>
              </c:strCache>
            </c:strRef>
          </c:cat>
          <c:val>
            <c:numRef>
              <c:f>'Budget Labor Overview'!$B$23:$F$23</c:f>
              <c:numCache>
                <c:formatCode>General</c:formatCode>
                <c:ptCount val="5"/>
                <c:pt idx="0">
                  <c:v>1.4285714285714285E-2</c:v>
                </c:pt>
                <c:pt idx="1">
                  <c:v>1.7428571428571429</c:v>
                </c:pt>
                <c:pt idx="2">
                  <c:v>0.20952380952380953</c:v>
                </c:pt>
                <c:pt idx="3">
                  <c:v>0.4595238095238095</c:v>
                </c:pt>
                <c:pt idx="4">
                  <c:v>0.1</c:v>
                </c:pt>
              </c:numCache>
            </c:numRef>
          </c:val>
        </c:ser>
        <c:ser>
          <c:idx val="16"/>
          <c:order val="3"/>
          <c:tx>
            <c:strRef>
              <c:f>'Budget Labor Overview'!$A$19</c:f>
              <c:strCache>
                <c:ptCount val="1"/>
                <c:pt idx="0">
                  <c:v>PSI - Electro Technician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cat>
            <c:strRef>
              <c:f>'Budget Labor Overview'!$B$2:$F$2</c:f>
              <c:strCache>
                <c:ptCount val="5"/>
                <c:pt idx="0">
                  <c:v>PM</c:v>
                </c:pt>
                <c:pt idx="1">
                  <c:v>Design</c:v>
                </c:pt>
                <c:pt idx="2">
                  <c:v>Prod</c:v>
                </c:pt>
                <c:pt idx="3">
                  <c:v>Inst</c:v>
                </c:pt>
                <c:pt idx="4">
                  <c:v>Comm</c:v>
                </c:pt>
              </c:strCache>
            </c:strRef>
          </c:cat>
          <c:val>
            <c:numRef>
              <c:f>'Budget Labor Overview'!$B$19:$F$19</c:f>
              <c:numCache>
                <c:formatCode>General</c:formatCode>
                <c:ptCount val="5"/>
                <c:pt idx="0">
                  <c:v>0</c:v>
                </c:pt>
                <c:pt idx="1">
                  <c:v>0.25</c:v>
                </c:pt>
                <c:pt idx="2">
                  <c:v>0</c:v>
                </c:pt>
                <c:pt idx="3">
                  <c:v>0.05</c:v>
                </c:pt>
                <c:pt idx="4">
                  <c:v>0</c:v>
                </c:pt>
              </c:numCache>
            </c:numRef>
          </c:val>
        </c:ser>
        <c:ser>
          <c:idx val="21"/>
          <c:order val="4"/>
          <c:tx>
            <c:strRef>
              <c:f>'Budget Labor Overview'!$A$24</c:f>
              <c:strCache>
                <c:ptCount val="1"/>
                <c:pt idx="0">
                  <c:v>PSI - Craftsman,  Admin.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</c:spPr>
          <c:invertIfNegative val="0"/>
          <c:cat>
            <c:strRef>
              <c:f>'Budget Labor Overview'!$B$2:$F$2</c:f>
              <c:strCache>
                <c:ptCount val="5"/>
                <c:pt idx="0">
                  <c:v>PM</c:v>
                </c:pt>
                <c:pt idx="1">
                  <c:v>Design</c:v>
                </c:pt>
                <c:pt idx="2">
                  <c:v>Prod</c:v>
                </c:pt>
                <c:pt idx="3">
                  <c:v>Inst</c:v>
                </c:pt>
                <c:pt idx="4">
                  <c:v>Comm</c:v>
                </c:pt>
              </c:strCache>
            </c:strRef>
          </c:cat>
          <c:val>
            <c:numRef>
              <c:f>'Budget Labor Overview'!$B$24:$F$24</c:f>
              <c:numCache>
                <c:formatCode>General</c:formatCode>
                <c:ptCount val="5"/>
                <c:pt idx="0">
                  <c:v>0</c:v>
                </c:pt>
                <c:pt idx="1">
                  <c:v>0.11428571428571428</c:v>
                </c:pt>
                <c:pt idx="2">
                  <c:v>0.57499999999999996</c:v>
                </c:pt>
                <c:pt idx="3">
                  <c:v>0.1130952380952381</c:v>
                </c:pt>
                <c:pt idx="4">
                  <c:v>0.05</c:v>
                </c:pt>
              </c:numCache>
            </c:numRef>
          </c:val>
        </c:ser>
        <c:ser>
          <c:idx val="9"/>
          <c:order val="5"/>
          <c:tx>
            <c:strRef>
              <c:f>'Budget Labor Overview'!$A$12</c:f>
              <c:strCache>
                <c:ptCount val="1"/>
                <c:pt idx="0">
                  <c:v>Technician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</c:spPr>
          <c:invertIfNegative val="0"/>
          <c:cat>
            <c:strRef>
              <c:f>'Budget Labor Overview'!$B$2:$F$2</c:f>
              <c:strCache>
                <c:ptCount val="5"/>
                <c:pt idx="0">
                  <c:v>PM</c:v>
                </c:pt>
                <c:pt idx="1">
                  <c:v>Design</c:v>
                </c:pt>
                <c:pt idx="2">
                  <c:v>Prod</c:v>
                </c:pt>
                <c:pt idx="3">
                  <c:v>Inst</c:v>
                </c:pt>
                <c:pt idx="4">
                  <c:v>Comm</c:v>
                </c:pt>
              </c:strCache>
            </c:strRef>
          </c:cat>
          <c:val>
            <c:numRef>
              <c:f>'Budget Labor Overview'!$B$12:$F$12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0.17499999999999999</c:v>
                </c:pt>
                <c:pt idx="3">
                  <c:v>3.0726190476190478</c:v>
                </c:pt>
                <c:pt idx="4">
                  <c:v>0.53809523809523807</c:v>
                </c:pt>
              </c:numCache>
            </c:numRef>
          </c:val>
        </c:ser>
        <c:ser>
          <c:idx val="11"/>
          <c:order val="6"/>
          <c:tx>
            <c:strRef>
              <c:f>'Budget Labor Overview'!$A$14</c:f>
              <c:strCache>
                <c:ptCount val="1"/>
                <c:pt idx="0">
                  <c:v>Craftsman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'Budget Labor Overview'!$B$2:$F$2</c:f>
              <c:strCache>
                <c:ptCount val="5"/>
                <c:pt idx="0">
                  <c:v>PM</c:v>
                </c:pt>
                <c:pt idx="1">
                  <c:v>Design</c:v>
                </c:pt>
                <c:pt idx="2">
                  <c:v>Prod</c:v>
                </c:pt>
                <c:pt idx="3">
                  <c:v>Inst</c:v>
                </c:pt>
                <c:pt idx="4">
                  <c:v>Comm</c:v>
                </c:pt>
              </c:strCache>
            </c:strRef>
          </c:cat>
          <c:val>
            <c:numRef>
              <c:f>'Budget Labor Overview'!$B$14:$F$14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0.35</c:v>
                </c:pt>
                <c:pt idx="3">
                  <c:v>1.6839285714285714</c:v>
                </c:pt>
                <c:pt idx="4">
                  <c:v>0.65476190476190477</c:v>
                </c:pt>
              </c:numCache>
            </c:numRef>
          </c:val>
        </c:ser>
        <c:ser>
          <c:idx val="12"/>
          <c:order val="7"/>
          <c:tx>
            <c:strRef>
              <c:f>'Budget Labor Overview'!$A$15</c:f>
              <c:strCache>
                <c:ptCount val="1"/>
                <c:pt idx="0">
                  <c:v>Craftsman + Machinetime 1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'Budget Labor Overview'!$B$2:$F$2</c:f>
              <c:strCache>
                <c:ptCount val="5"/>
                <c:pt idx="0">
                  <c:v>PM</c:v>
                </c:pt>
                <c:pt idx="1">
                  <c:v>Design</c:v>
                </c:pt>
                <c:pt idx="2">
                  <c:v>Prod</c:v>
                </c:pt>
                <c:pt idx="3">
                  <c:v>Inst</c:v>
                </c:pt>
                <c:pt idx="4">
                  <c:v>Comm</c:v>
                </c:pt>
              </c:strCache>
            </c:strRef>
          </c:cat>
          <c:val>
            <c:numRef>
              <c:f>'Budget Labor Overview'!$B$15:$F$15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0.3</c:v>
                </c:pt>
                <c:pt idx="3">
                  <c:v>9.5238095238095247E-3</c:v>
                </c:pt>
                <c:pt idx="4">
                  <c:v>0</c:v>
                </c:pt>
              </c:numCache>
            </c:numRef>
          </c:val>
        </c:ser>
        <c:ser>
          <c:idx val="13"/>
          <c:order val="8"/>
          <c:tx>
            <c:strRef>
              <c:f>'Budget Labor Overview'!$A$16</c:f>
              <c:strCache>
                <c:ptCount val="1"/>
                <c:pt idx="0">
                  <c:v>Craftsman + Machinetime 2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</c:spPr>
          <c:invertIfNegative val="0"/>
          <c:cat>
            <c:strRef>
              <c:f>'Budget Labor Overview'!$B$2:$F$2</c:f>
              <c:strCache>
                <c:ptCount val="5"/>
                <c:pt idx="0">
                  <c:v>PM</c:v>
                </c:pt>
                <c:pt idx="1">
                  <c:v>Design</c:v>
                </c:pt>
                <c:pt idx="2">
                  <c:v>Prod</c:v>
                </c:pt>
                <c:pt idx="3">
                  <c:v>Inst</c:v>
                </c:pt>
                <c:pt idx="4">
                  <c:v>Comm</c:v>
                </c:pt>
              </c:strCache>
            </c:strRef>
          </c:cat>
          <c:val>
            <c:numRef>
              <c:f>'Budget Labor Overview'!$B$16:$F$16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2.3250000000000002</c:v>
                </c:pt>
                <c:pt idx="3">
                  <c:v>1.5428571428571429</c:v>
                </c:pt>
                <c:pt idx="4">
                  <c:v>0.17499999999999999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5666816"/>
        <c:axId val="85689088"/>
      </c:barChart>
      <c:catAx>
        <c:axId val="85666816"/>
        <c:scaling>
          <c:orientation val="minMax"/>
        </c:scaling>
        <c:delete val="0"/>
        <c:axPos val="b"/>
        <c:majorTickMark val="out"/>
        <c:minorTickMark val="none"/>
        <c:tickLblPos val="nextTo"/>
        <c:crossAx val="85689088"/>
        <c:crosses val="autoZero"/>
        <c:auto val="1"/>
        <c:lblAlgn val="ctr"/>
        <c:lblOffset val="100"/>
        <c:noMultiLvlLbl val="0"/>
      </c:catAx>
      <c:valAx>
        <c:axId val="85689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56668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635209434895533"/>
          <c:y val="8.9744217471619522E-2"/>
          <c:w val="8.7746264825510886E-2"/>
          <c:h val="0.5551985468964169"/>
        </c:manualLayout>
      </c:layout>
      <c:overlay val="0"/>
      <c:txPr>
        <a:bodyPr/>
        <a:lstStyle/>
        <a:p>
          <a:pPr>
            <a:defRPr sz="12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13606</xdr:colOff>
      <xdr:row>2</xdr:row>
      <xdr:rowOff>40822</xdr:rowOff>
    </xdr:from>
    <xdr:to>
      <xdr:col>45</xdr:col>
      <xdr:colOff>489856</xdr:colOff>
      <xdr:row>58</xdr:row>
      <xdr:rowOff>95251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3.6.9.1_Beam%20Transport%20and%20Conditioning%20System/Budget_9.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13.6.9.10_Control%20Racks/Budget_9.10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13.6.9.11_Integrated%20Control%20and%20Monitoring/Budget_9.11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13.6.9.12_Upgrade%20Components/Budget_9.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3.6.9.2_Sample%20Exposure%20System/Budget_9.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13.6.9.3_Scattering%20Charakterisation%20System/Budget_9.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13.6.9.4_Optical%20Cave/Budget_9.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13.6.9.5_Experimental%20Cave/Budget_9.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13.6.9.6_Control%20Hutch/Budget_9.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13.6.9.7_Sample%20Preparation%20Area/Budget_9.7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13.6.9.8_Utilies%20Distribution/Budget_9.8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13.6.9.9_Support%20Infrastructure/Budget_9.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Detail Sheet 1"/>
      <sheetName val="Detail Sheet 2"/>
      <sheetName val="Detail Sheet 3"/>
      <sheetName val="Detail Sheet 4"/>
      <sheetName val="Detail Sheet 5"/>
      <sheetName val="Detail Sheet 6"/>
      <sheetName val="Detail Sheet 7"/>
      <sheetName val="Detail Sheet - TEMPLATE"/>
    </sheetNames>
    <sheetDataSet>
      <sheetData sheetId="0">
        <row r="2">
          <cell r="A2" t="str">
            <v>13.6.9.1</v>
          </cell>
          <cell r="B2" t="str">
            <v>Beam Transport and Conditioning System</v>
          </cell>
          <cell r="C2">
            <v>2190.7795988990824</v>
          </cell>
          <cell r="D2">
            <v>6074.4988256880742</v>
          </cell>
          <cell r="J2">
            <v>220</v>
          </cell>
          <cell r="K2">
            <v>985.71428571428578</v>
          </cell>
          <cell r="L2">
            <v>695.4761904761906</v>
          </cell>
          <cell r="M2">
            <v>702.9761904761906</v>
          </cell>
          <cell r="N2">
            <v>454.76190476190482</v>
          </cell>
        </row>
        <row r="4"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</row>
        <row r="5"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</row>
        <row r="6"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</row>
        <row r="7"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</row>
        <row r="8"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</row>
        <row r="9">
          <cell r="B9" t="str">
            <v>Chopper System</v>
          </cell>
          <cell r="L9">
            <v>15</v>
          </cell>
          <cell r="M9">
            <v>35</v>
          </cell>
          <cell r="N9">
            <v>25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</row>
        <row r="10"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</row>
        <row r="11">
          <cell r="AB11">
            <v>0</v>
          </cell>
          <cell r="AC11">
            <v>0</v>
          </cell>
          <cell r="AD11">
            <v>84</v>
          </cell>
          <cell r="AE11">
            <v>1334</v>
          </cell>
          <cell r="AF11">
            <v>568</v>
          </cell>
        </row>
        <row r="12"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</row>
        <row r="13">
          <cell r="AB13">
            <v>0</v>
          </cell>
          <cell r="AC13">
            <v>0</v>
          </cell>
          <cell r="AD13">
            <v>168</v>
          </cell>
          <cell r="AE13">
            <v>1249</v>
          </cell>
          <cell r="AF13">
            <v>932</v>
          </cell>
        </row>
        <row r="14">
          <cell r="AB14">
            <v>0</v>
          </cell>
          <cell r="AC14">
            <v>0</v>
          </cell>
          <cell r="AD14">
            <v>504</v>
          </cell>
          <cell r="AE14">
            <v>0</v>
          </cell>
          <cell r="AF14">
            <v>0</v>
          </cell>
        </row>
        <row r="15">
          <cell r="B15" t="str">
            <v>Neutron Polarization System</v>
          </cell>
          <cell r="AB15">
            <v>0</v>
          </cell>
          <cell r="AC15">
            <v>0</v>
          </cell>
          <cell r="AD15">
            <v>3318</v>
          </cell>
          <cell r="AE15">
            <v>1418</v>
          </cell>
          <cell r="AF15">
            <v>210</v>
          </cell>
        </row>
        <row r="16"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</row>
        <row r="17"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</row>
        <row r="18">
          <cell r="AB18">
            <v>0</v>
          </cell>
          <cell r="AC18">
            <v>252</v>
          </cell>
          <cell r="AD18">
            <v>0</v>
          </cell>
          <cell r="AE18">
            <v>0</v>
          </cell>
          <cell r="AF18">
            <v>0</v>
          </cell>
        </row>
        <row r="19"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16</v>
          </cell>
        </row>
        <row r="20">
          <cell r="AB20">
            <v>924</v>
          </cell>
          <cell r="AC20">
            <v>2628</v>
          </cell>
          <cell r="AD20">
            <v>168</v>
          </cell>
          <cell r="AE20">
            <v>336</v>
          </cell>
          <cell r="AF20">
            <v>946</v>
          </cell>
        </row>
        <row r="21">
          <cell r="AB21">
            <v>924</v>
          </cell>
          <cell r="AC21">
            <v>3696</v>
          </cell>
          <cell r="AD21">
            <v>660</v>
          </cell>
          <cell r="AE21">
            <v>732</v>
          </cell>
          <cell r="AF21">
            <v>1022</v>
          </cell>
        </row>
        <row r="22">
          <cell r="AB22">
            <v>0</v>
          </cell>
          <cell r="AC22">
            <v>1512</v>
          </cell>
          <cell r="AD22">
            <v>310</v>
          </cell>
          <cell r="AE22">
            <v>646</v>
          </cell>
          <cell r="AF22">
            <v>42</v>
          </cell>
        </row>
        <row r="23">
          <cell r="AB23">
            <v>0</v>
          </cell>
          <cell r="AC23">
            <v>192</v>
          </cell>
          <cell r="AD23">
            <v>630</v>
          </cell>
          <cell r="AE23">
            <v>190</v>
          </cell>
          <cell r="AF23">
            <v>84</v>
          </cell>
        </row>
        <row r="24"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Detail Sheet 1"/>
      <sheetName val="Detail Sheet 2"/>
      <sheetName val="Detail Sheet 3"/>
    </sheetNames>
    <sheetDataSet>
      <sheetData sheetId="0">
        <row r="2">
          <cell r="A2" t="str">
            <v>13.6.9.10.1</v>
          </cell>
          <cell r="B2" t="str">
            <v>Control Racks - Hall 1</v>
          </cell>
          <cell r="C2">
            <v>558.07841000000008</v>
          </cell>
          <cell r="D2">
            <v>146.26499999999999</v>
          </cell>
          <cell r="J2">
            <v>50</v>
          </cell>
          <cell r="K2">
            <v>262.85714285714278</v>
          </cell>
          <cell r="L2">
            <v>20</v>
          </cell>
          <cell r="M2">
            <v>439.28571428571428</v>
          </cell>
          <cell r="N2">
            <v>136.78571428571428</v>
          </cell>
        </row>
        <row r="4"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</row>
        <row r="5"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</row>
        <row r="6"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</row>
        <row r="7"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</row>
        <row r="8"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</row>
        <row r="9"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</row>
        <row r="10"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</row>
        <row r="11">
          <cell r="AB11">
            <v>0</v>
          </cell>
          <cell r="AC11">
            <v>0</v>
          </cell>
          <cell r="AD11">
            <v>0</v>
          </cell>
          <cell r="AE11">
            <v>2176</v>
          </cell>
          <cell r="AF11">
            <v>168</v>
          </cell>
        </row>
        <row r="12"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</row>
        <row r="13">
          <cell r="AB13">
            <v>0</v>
          </cell>
          <cell r="AC13">
            <v>0</v>
          </cell>
          <cell r="AD13">
            <v>0</v>
          </cell>
          <cell r="AE13">
            <v>928</v>
          </cell>
          <cell r="AF13">
            <v>84</v>
          </cell>
        </row>
        <row r="14"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</row>
        <row r="15">
          <cell r="AB15">
            <v>0</v>
          </cell>
          <cell r="AC15">
            <v>0</v>
          </cell>
          <cell r="AD15">
            <v>168</v>
          </cell>
          <cell r="AE15">
            <v>124</v>
          </cell>
          <cell r="AF15">
            <v>0</v>
          </cell>
        </row>
        <row r="16"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</row>
        <row r="17"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</row>
        <row r="18"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</row>
        <row r="19"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</row>
        <row r="20">
          <cell r="AB20">
            <v>0</v>
          </cell>
          <cell r="AC20">
            <v>90</v>
          </cell>
          <cell r="AD20">
            <v>0</v>
          </cell>
          <cell r="AE20">
            <v>0</v>
          </cell>
          <cell r="AF20">
            <v>378</v>
          </cell>
        </row>
        <row r="21">
          <cell r="AB21">
            <v>420</v>
          </cell>
          <cell r="AC21">
            <v>1584</v>
          </cell>
          <cell r="AD21">
            <v>0</v>
          </cell>
          <cell r="AE21">
            <v>462</v>
          </cell>
          <cell r="AF21">
            <v>519</v>
          </cell>
        </row>
        <row r="22">
          <cell r="AB22">
            <v>0</v>
          </cell>
          <cell r="AC22">
            <v>534</v>
          </cell>
          <cell r="AD22">
            <v>0</v>
          </cell>
          <cell r="AE22">
            <v>0</v>
          </cell>
          <cell r="AF22">
            <v>0</v>
          </cell>
        </row>
        <row r="23"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</row>
        <row r="24"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</row>
      </sheetData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Detail Sheet 1"/>
      <sheetName val="Detail Sheet - TEMPLATE"/>
    </sheetNames>
    <sheetDataSet>
      <sheetData sheetId="0">
        <row r="2">
          <cell r="A2" t="str">
            <v>13.6.9.11</v>
          </cell>
          <cell r="B2" t="str">
            <v>Integrated Control and Monitoring</v>
          </cell>
          <cell r="C2">
            <v>0</v>
          </cell>
          <cell r="D2">
            <v>0</v>
          </cell>
        </row>
        <row r="4"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</row>
        <row r="5"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</row>
        <row r="6"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</row>
        <row r="7"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</row>
        <row r="8"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</row>
        <row r="9"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</row>
        <row r="10"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</row>
        <row r="11"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</row>
        <row r="12"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</row>
        <row r="13"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</row>
        <row r="14"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</row>
        <row r="15"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</row>
        <row r="16"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</row>
        <row r="17"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</row>
        <row r="18"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</row>
        <row r="19"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</row>
        <row r="20"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</row>
        <row r="21"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</row>
        <row r="22"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</row>
        <row r="23"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</row>
        <row r="24"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</row>
      </sheetData>
      <sheetData sheetId="1"/>
      <sheetData sheetId="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Detail Sheet 1"/>
      <sheetName val="Detail Sheet 2"/>
      <sheetName val="Detail Sheet 3"/>
    </sheetNames>
    <sheetDataSet>
      <sheetData sheetId="0">
        <row r="4">
          <cell r="B4" t="str">
            <v>Polarization Analyzer System</v>
          </cell>
          <cell r="C4">
            <v>74.79486</v>
          </cell>
          <cell r="D4">
            <v>292</v>
          </cell>
          <cell r="J4">
            <v>10</v>
          </cell>
          <cell r="K4">
            <v>30</v>
          </cell>
          <cell r="L4">
            <v>30</v>
          </cell>
          <cell r="M4">
            <v>15</v>
          </cell>
          <cell r="N4">
            <v>20</v>
          </cell>
        </row>
        <row r="10">
          <cell r="B10" t="str">
            <v>Chopper Loss Frame Overlap Mirror</v>
          </cell>
          <cell r="C10">
            <v>46.947020000000002</v>
          </cell>
          <cell r="D10">
            <v>40</v>
          </cell>
          <cell r="J10">
            <v>10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Detail Sheet 1"/>
    </sheetNames>
    <sheetDataSet>
      <sheetData sheetId="0">
        <row r="2">
          <cell r="A2" t="str">
            <v>13.6.9.2</v>
          </cell>
          <cell r="B2" t="str">
            <v>Sample Exposure System</v>
          </cell>
          <cell r="C2">
            <v>184.41920000000002</v>
          </cell>
          <cell r="D2">
            <v>451.43</v>
          </cell>
          <cell r="J2">
            <v>20</v>
          </cell>
          <cell r="K2">
            <v>85</v>
          </cell>
          <cell r="L2">
            <v>43.80952380952381</v>
          </cell>
          <cell r="M2">
            <v>50.952380952380949</v>
          </cell>
          <cell r="N2">
            <v>56.904761904761905</v>
          </cell>
        </row>
        <row r="4"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</row>
        <row r="5"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</row>
        <row r="6"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</row>
        <row r="7"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</row>
        <row r="8"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</row>
        <row r="9"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</row>
        <row r="10"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</row>
        <row r="11"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42</v>
          </cell>
        </row>
        <row r="12"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</row>
        <row r="13"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42</v>
          </cell>
        </row>
        <row r="14"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</row>
        <row r="15">
          <cell r="AB15">
            <v>0</v>
          </cell>
          <cell r="AC15">
            <v>0</v>
          </cell>
          <cell r="AD15">
            <v>336</v>
          </cell>
          <cell r="AE15">
            <v>210</v>
          </cell>
          <cell r="AF15">
            <v>84</v>
          </cell>
        </row>
        <row r="16"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</row>
        <row r="17"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</row>
        <row r="18">
          <cell r="AB18">
            <v>0</v>
          </cell>
          <cell r="AC18">
            <v>168</v>
          </cell>
          <cell r="AD18">
            <v>0</v>
          </cell>
          <cell r="AE18">
            <v>84</v>
          </cell>
          <cell r="AF18">
            <v>0</v>
          </cell>
        </row>
        <row r="19"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</row>
        <row r="20">
          <cell r="AB20">
            <v>84</v>
          </cell>
          <cell r="AC20">
            <v>84</v>
          </cell>
          <cell r="AD20">
            <v>0</v>
          </cell>
          <cell r="AE20">
            <v>0</v>
          </cell>
          <cell r="AF20">
            <v>126</v>
          </cell>
        </row>
        <row r="21">
          <cell r="AB21">
            <v>84</v>
          </cell>
          <cell r="AC21">
            <v>252</v>
          </cell>
          <cell r="AD21">
            <v>32</v>
          </cell>
          <cell r="AE21">
            <v>8</v>
          </cell>
          <cell r="AF21">
            <v>58</v>
          </cell>
        </row>
        <row r="22">
          <cell r="AB22">
            <v>0</v>
          </cell>
          <cell r="AC22">
            <v>210</v>
          </cell>
          <cell r="AD22">
            <v>0</v>
          </cell>
          <cell r="AE22">
            <v>126</v>
          </cell>
          <cell r="AF22">
            <v>126</v>
          </cell>
        </row>
        <row r="23"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</row>
        <row r="24"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Detail Sheet 1"/>
    </sheetNames>
    <sheetDataSet>
      <sheetData sheetId="0">
        <row r="2">
          <cell r="A2" t="str">
            <v>13.6.9.3</v>
          </cell>
          <cell r="B2" t="str">
            <v>Scattering Characterization System</v>
          </cell>
          <cell r="C2">
            <v>213.81835844036695</v>
          </cell>
          <cell r="D2">
            <v>907</v>
          </cell>
          <cell r="J2">
            <v>45</v>
          </cell>
          <cell r="K2">
            <v>94.642857142857139</v>
          </cell>
          <cell r="L2">
            <v>90.952380952380949</v>
          </cell>
          <cell r="M2">
            <v>66.904761904761898</v>
          </cell>
          <cell r="N2">
            <v>50.714285714285715</v>
          </cell>
        </row>
        <row r="4"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</row>
        <row r="5"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</row>
        <row r="6"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</row>
        <row r="7"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</row>
        <row r="8"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</row>
        <row r="9"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</row>
        <row r="10"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</row>
        <row r="11">
          <cell r="AB11">
            <v>0</v>
          </cell>
          <cell r="AC11">
            <v>0</v>
          </cell>
          <cell r="AD11">
            <v>84</v>
          </cell>
          <cell r="AE11">
            <v>294</v>
          </cell>
          <cell r="AF11">
            <v>84</v>
          </cell>
        </row>
        <row r="12"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</row>
        <row r="13">
          <cell r="AB13">
            <v>0</v>
          </cell>
          <cell r="AC13">
            <v>0</v>
          </cell>
          <cell r="AD13">
            <v>168</v>
          </cell>
          <cell r="AE13">
            <v>168</v>
          </cell>
          <cell r="AF13">
            <v>42</v>
          </cell>
        </row>
        <row r="14"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</row>
        <row r="15">
          <cell r="AB15">
            <v>0</v>
          </cell>
          <cell r="AC15">
            <v>0</v>
          </cell>
          <cell r="AD15">
            <v>84</v>
          </cell>
          <cell r="AE15">
            <v>0</v>
          </cell>
          <cell r="AF15">
            <v>0</v>
          </cell>
        </row>
        <row r="16"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</row>
        <row r="17"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</row>
        <row r="18"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</row>
        <row r="19"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</row>
        <row r="20">
          <cell r="AB20">
            <v>210</v>
          </cell>
          <cell r="AC20">
            <v>150</v>
          </cell>
          <cell r="AD20">
            <v>0</v>
          </cell>
          <cell r="AE20">
            <v>0</v>
          </cell>
          <cell r="AF20">
            <v>168</v>
          </cell>
        </row>
        <row r="21">
          <cell r="AB21">
            <v>168</v>
          </cell>
          <cell r="AC21">
            <v>435</v>
          </cell>
          <cell r="AD21">
            <v>50</v>
          </cell>
          <cell r="AE21">
            <v>100</v>
          </cell>
          <cell r="AF21">
            <v>132</v>
          </cell>
        </row>
        <row r="22">
          <cell r="AB22">
            <v>0</v>
          </cell>
          <cell r="AC22">
            <v>210</v>
          </cell>
          <cell r="AD22">
            <v>42</v>
          </cell>
          <cell r="AE22">
            <v>0</v>
          </cell>
          <cell r="AF22">
            <v>0</v>
          </cell>
        </row>
        <row r="23">
          <cell r="AB23">
            <v>0</v>
          </cell>
          <cell r="AC23">
            <v>0</v>
          </cell>
          <cell r="AD23">
            <v>336</v>
          </cell>
          <cell r="AE23">
            <v>0</v>
          </cell>
          <cell r="AF23">
            <v>0</v>
          </cell>
        </row>
        <row r="24"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Detail Sheet 1"/>
      <sheetName val="Detail Sheet 2"/>
    </sheetNames>
    <sheetDataSet>
      <sheetData sheetId="0">
        <row r="2">
          <cell r="A2" t="str">
            <v>13.6.9.4</v>
          </cell>
          <cell r="B2" t="str">
            <v>Optical Cave</v>
          </cell>
          <cell r="C2">
            <v>0</v>
          </cell>
          <cell r="D2">
            <v>0</v>
          </cell>
        </row>
      </sheetData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Detail Sheet 1"/>
      <sheetName val="Detail Sheet 2"/>
      <sheetName val="Detail Sheet 3"/>
      <sheetName val="Detail Sheet 4"/>
      <sheetName val="Detail Sheet 5"/>
    </sheetNames>
    <sheetDataSet>
      <sheetData sheetId="0">
        <row r="2">
          <cell r="A2" t="str">
            <v>13.6.9.5</v>
          </cell>
          <cell r="B2" t="str">
            <v>Experimental Cave</v>
          </cell>
          <cell r="C2">
            <v>309.88862000000006</v>
          </cell>
          <cell r="D2">
            <v>657</v>
          </cell>
          <cell r="J2">
            <v>42.38095238095238</v>
          </cell>
          <cell r="K2">
            <v>151.90476190476193</v>
          </cell>
          <cell r="L2">
            <v>35</v>
          </cell>
          <cell r="M2">
            <v>217.38095238095241</v>
          </cell>
          <cell r="N2">
            <v>10</v>
          </cell>
        </row>
        <row r="4"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</row>
        <row r="5"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</row>
        <row r="6"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</row>
        <row r="7"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</row>
        <row r="8"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</row>
        <row r="9">
          <cell r="AB9">
            <v>0</v>
          </cell>
          <cell r="AC9">
            <v>0</v>
          </cell>
          <cell r="AD9">
            <v>0</v>
          </cell>
          <cell r="AE9">
            <v>42</v>
          </cell>
          <cell r="AF9">
            <v>0</v>
          </cell>
        </row>
        <row r="10"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</row>
        <row r="11">
          <cell r="AB11">
            <v>0</v>
          </cell>
          <cell r="AC11">
            <v>0</v>
          </cell>
          <cell r="AD11">
            <v>84</v>
          </cell>
          <cell r="AE11">
            <v>418</v>
          </cell>
          <cell r="AF11">
            <v>42</v>
          </cell>
        </row>
        <row r="12"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</row>
        <row r="13">
          <cell r="AB13">
            <v>0</v>
          </cell>
          <cell r="AC13">
            <v>0</v>
          </cell>
          <cell r="AD13">
            <v>168</v>
          </cell>
          <cell r="AE13">
            <v>368</v>
          </cell>
          <cell r="AF13">
            <v>0</v>
          </cell>
        </row>
        <row r="14"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</row>
        <row r="15">
          <cell r="AB15">
            <v>0</v>
          </cell>
          <cell r="AC15">
            <v>0</v>
          </cell>
          <cell r="AD15">
            <v>0</v>
          </cell>
          <cell r="AE15">
            <v>840</v>
          </cell>
          <cell r="AF15">
            <v>0</v>
          </cell>
        </row>
        <row r="16"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</row>
        <row r="17"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</row>
        <row r="18"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</row>
        <row r="19"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</row>
        <row r="20">
          <cell r="AB20">
            <v>150</v>
          </cell>
          <cell r="AC20">
            <v>336</v>
          </cell>
          <cell r="AD20">
            <v>0</v>
          </cell>
          <cell r="AE20">
            <v>0</v>
          </cell>
          <cell r="AF20">
            <v>0</v>
          </cell>
        </row>
        <row r="21">
          <cell r="AB21">
            <v>206</v>
          </cell>
          <cell r="AC21">
            <v>604</v>
          </cell>
          <cell r="AD21">
            <v>42</v>
          </cell>
          <cell r="AE21">
            <v>158</v>
          </cell>
          <cell r="AF21">
            <v>42</v>
          </cell>
        </row>
        <row r="22">
          <cell r="AB22">
            <v>0</v>
          </cell>
          <cell r="AC22">
            <v>336</v>
          </cell>
          <cell r="AD22">
            <v>0</v>
          </cell>
          <cell r="AE22">
            <v>0</v>
          </cell>
          <cell r="AF22">
            <v>0</v>
          </cell>
        </row>
        <row r="23"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</row>
        <row r="24"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Detail Sheet 1"/>
      <sheetName val="Detail Sheet 2"/>
      <sheetName val="Detail Sheet 3"/>
      <sheetName val="Detail Sheet 4"/>
    </sheetNames>
    <sheetDataSet>
      <sheetData sheetId="0">
        <row r="2">
          <cell r="A2" t="str">
            <v>13.6.9.6</v>
          </cell>
          <cell r="B2" t="str">
            <v>Control Hutch</v>
          </cell>
          <cell r="C2">
            <v>45.340939999999989</v>
          </cell>
          <cell r="D2">
            <v>71</v>
          </cell>
          <cell r="J2">
            <v>16.666666666666668</v>
          </cell>
          <cell r="K2">
            <v>10</v>
          </cell>
          <cell r="L2">
            <v>15</v>
          </cell>
          <cell r="M2">
            <v>40.714285714285701</v>
          </cell>
          <cell r="N2">
            <v>1.9047619047619047</v>
          </cell>
        </row>
        <row r="4"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</row>
        <row r="5"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</row>
        <row r="6"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</row>
        <row r="7"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</row>
        <row r="8"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</row>
        <row r="9"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</row>
        <row r="10"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</row>
        <row r="11">
          <cell r="AB11">
            <v>0</v>
          </cell>
          <cell r="AC11">
            <v>0</v>
          </cell>
          <cell r="AD11">
            <v>42</v>
          </cell>
          <cell r="AE11">
            <v>310</v>
          </cell>
          <cell r="AF11">
            <v>0</v>
          </cell>
        </row>
        <row r="12"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</row>
        <row r="13">
          <cell r="AB13">
            <v>0</v>
          </cell>
          <cell r="AC13">
            <v>0</v>
          </cell>
          <cell r="AD13">
            <v>84</v>
          </cell>
          <cell r="AE13">
            <v>24</v>
          </cell>
          <cell r="AF13">
            <v>0</v>
          </cell>
        </row>
        <row r="14"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</row>
        <row r="15"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</row>
        <row r="16"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</row>
        <row r="17"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</row>
        <row r="18"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</row>
        <row r="19"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</row>
        <row r="20">
          <cell r="AB20">
            <v>50</v>
          </cell>
          <cell r="AC20">
            <v>0</v>
          </cell>
          <cell r="AD20">
            <v>0</v>
          </cell>
          <cell r="AE20">
            <v>0</v>
          </cell>
          <cell r="AF20">
            <v>8</v>
          </cell>
        </row>
        <row r="21">
          <cell r="AB21">
            <v>90</v>
          </cell>
          <cell r="AC21">
            <v>42</v>
          </cell>
          <cell r="AD21">
            <v>0</v>
          </cell>
          <cell r="AE21">
            <v>8</v>
          </cell>
          <cell r="AF21">
            <v>8</v>
          </cell>
        </row>
        <row r="22">
          <cell r="AB22">
            <v>0</v>
          </cell>
          <cell r="AC22">
            <v>42</v>
          </cell>
          <cell r="AD22">
            <v>0</v>
          </cell>
          <cell r="AE22">
            <v>0</v>
          </cell>
          <cell r="AF22">
            <v>0</v>
          </cell>
        </row>
        <row r="23"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</row>
        <row r="24"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Detail Sheet 1"/>
      <sheetName val="Detail Sheet 2"/>
      <sheetName val="Detail Sheet 3"/>
      <sheetName val="Detail Sheet 4"/>
      <sheetName val="Detail Sheet 5"/>
    </sheetNames>
    <sheetDataSet>
      <sheetData sheetId="0">
        <row r="2">
          <cell r="A2" t="str">
            <v>13.6.9.7</v>
          </cell>
          <cell r="B2" t="str">
            <v>Sampe Preparation Area</v>
          </cell>
          <cell r="C2">
            <v>21.558499999999999</v>
          </cell>
          <cell r="D2">
            <v>11.16</v>
          </cell>
          <cell r="J2">
            <v>8.5714285714285712</v>
          </cell>
          <cell r="K2">
            <v>6.9047619047619051</v>
          </cell>
          <cell r="L2">
            <v>0</v>
          </cell>
          <cell r="M2">
            <v>23.80952380952381</v>
          </cell>
          <cell r="N2">
            <v>0</v>
          </cell>
        </row>
        <row r="4"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</row>
        <row r="5"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</row>
        <row r="6"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</row>
        <row r="7"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</row>
        <row r="8"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</row>
        <row r="9"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</row>
        <row r="10"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</row>
        <row r="11">
          <cell r="AB11">
            <v>0</v>
          </cell>
          <cell r="AC11">
            <v>0</v>
          </cell>
          <cell r="AD11">
            <v>0</v>
          </cell>
          <cell r="AE11">
            <v>84</v>
          </cell>
          <cell r="AF11">
            <v>0</v>
          </cell>
        </row>
        <row r="12"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</row>
        <row r="13">
          <cell r="AB13">
            <v>0</v>
          </cell>
          <cell r="AC13">
            <v>0</v>
          </cell>
          <cell r="AD13">
            <v>0</v>
          </cell>
          <cell r="AE13">
            <v>92</v>
          </cell>
          <cell r="AF13">
            <v>0</v>
          </cell>
        </row>
        <row r="14">
          <cell r="AB14">
            <v>0</v>
          </cell>
          <cell r="AC14">
            <v>0</v>
          </cell>
          <cell r="AD14">
            <v>0</v>
          </cell>
          <cell r="AE14">
            <v>16</v>
          </cell>
          <cell r="AF14">
            <v>0</v>
          </cell>
        </row>
        <row r="15"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</row>
        <row r="16"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</row>
        <row r="17"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</row>
        <row r="18"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</row>
        <row r="19"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</row>
        <row r="20">
          <cell r="AB20">
            <v>16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</row>
        <row r="21">
          <cell r="AB21">
            <v>32</v>
          </cell>
          <cell r="AC21">
            <v>58</v>
          </cell>
          <cell r="AD21">
            <v>0</v>
          </cell>
          <cell r="AE21">
            <v>8</v>
          </cell>
          <cell r="AF21">
            <v>0</v>
          </cell>
        </row>
        <row r="22">
          <cell r="AB22">
            <v>24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</row>
        <row r="23"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</row>
        <row r="24"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Detail Sheet 1"/>
    </sheetNames>
    <sheetDataSet>
      <sheetData sheetId="0">
        <row r="2">
          <cell r="A2" t="str">
            <v>13.6.9.8</v>
          </cell>
          <cell r="B2" t="str">
            <v>Utilities Distribution</v>
          </cell>
          <cell r="C2">
            <v>8.6414200000000001</v>
          </cell>
          <cell r="D2">
            <v>28</v>
          </cell>
          <cell r="J2">
            <v>3.8095238095238093</v>
          </cell>
          <cell r="K2">
            <v>7.3809523809523805</v>
          </cell>
          <cell r="L2">
            <v>0</v>
          </cell>
          <cell r="M2">
            <v>0</v>
          </cell>
          <cell r="N2">
            <v>0</v>
          </cell>
        </row>
        <row r="4"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</row>
        <row r="5"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</row>
        <row r="6"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</row>
        <row r="7"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</row>
        <row r="8"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</row>
        <row r="9"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</row>
        <row r="10"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</row>
        <row r="11"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</row>
        <row r="12"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</row>
        <row r="13"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</row>
        <row r="14"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</row>
        <row r="15"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</row>
        <row r="16"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</row>
        <row r="17"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</row>
        <row r="18"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</row>
        <row r="19"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</row>
        <row r="20"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</row>
        <row r="21">
          <cell r="AB21">
            <v>40</v>
          </cell>
          <cell r="AC21">
            <v>70</v>
          </cell>
          <cell r="AD21">
            <v>0</v>
          </cell>
          <cell r="AE21">
            <v>0</v>
          </cell>
          <cell r="AF21">
            <v>0</v>
          </cell>
        </row>
        <row r="22"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</row>
        <row r="23"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</row>
        <row r="24"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</row>
      </sheetData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Detail Sheet 1"/>
      <sheetName val="Detail Sheet 2"/>
    </sheetNames>
    <sheetDataSet>
      <sheetData sheetId="0">
        <row r="2">
          <cell r="A2" t="str">
            <v>13.6.9.9.1</v>
          </cell>
          <cell r="B2" t="str">
            <v>Support Infrastructure - Hall 1</v>
          </cell>
          <cell r="C2">
            <v>88.535160000000005</v>
          </cell>
          <cell r="D2">
            <v>145</v>
          </cell>
          <cell r="J2">
            <v>5.9523809523809526</v>
          </cell>
          <cell r="K2">
            <v>44.047619047619051</v>
          </cell>
          <cell r="L2">
            <v>0</v>
          </cell>
          <cell r="M2">
            <v>65</v>
          </cell>
          <cell r="N2">
            <v>30</v>
          </cell>
        </row>
        <row r="4"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</row>
        <row r="5"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</row>
        <row r="6"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</row>
        <row r="7"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</row>
        <row r="8"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</row>
        <row r="9"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</row>
        <row r="10"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</row>
        <row r="11">
          <cell r="AB11">
            <v>0</v>
          </cell>
          <cell r="AC11">
            <v>0</v>
          </cell>
          <cell r="AD11">
            <v>0</v>
          </cell>
          <cell r="AE11">
            <v>546</v>
          </cell>
          <cell r="AF11">
            <v>0</v>
          </cell>
        </row>
        <row r="12"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</row>
        <row r="13"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</row>
        <row r="14"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</row>
        <row r="15"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</row>
        <row r="16"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</row>
        <row r="17"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</row>
        <row r="18"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</row>
        <row r="19"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</row>
        <row r="20"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84</v>
          </cell>
        </row>
        <row r="21">
          <cell r="AB21">
            <v>50</v>
          </cell>
          <cell r="AC21">
            <v>286</v>
          </cell>
          <cell r="AD21">
            <v>0</v>
          </cell>
          <cell r="AE21">
            <v>0</v>
          </cell>
          <cell r="AF21">
            <v>168</v>
          </cell>
        </row>
        <row r="22">
          <cell r="AB22">
            <v>0</v>
          </cell>
          <cell r="AC22">
            <v>84</v>
          </cell>
          <cell r="AD22">
            <v>0</v>
          </cell>
          <cell r="AE22">
            <v>0</v>
          </cell>
          <cell r="AF22">
            <v>0</v>
          </cell>
        </row>
        <row r="23"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</row>
        <row r="24"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zoomScale="70" zoomScaleNormal="70" workbookViewId="0">
      <selection activeCell="F32" sqref="F32"/>
    </sheetView>
  </sheetViews>
  <sheetFormatPr defaultRowHeight="15" x14ac:dyDescent="0.25"/>
  <cols>
    <col min="1" max="1" width="26.7109375" bestFit="1" customWidth="1"/>
    <col min="2" max="6" width="9.28515625" bestFit="1" customWidth="1"/>
    <col min="7" max="7" width="10.42578125" bestFit="1" customWidth="1"/>
  </cols>
  <sheetData>
    <row r="1" spans="1:11" x14ac:dyDescent="0.25">
      <c r="A1" t="s">
        <v>68</v>
      </c>
    </row>
    <row r="2" spans="1:11" x14ac:dyDescent="0.25">
      <c r="A2" s="3"/>
      <c r="B2" s="3" t="s">
        <v>38</v>
      </c>
      <c r="C2" s="3" t="s">
        <v>39</v>
      </c>
      <c r="D2" s="3" t="s">
        <v>40</v>
      </c>
      <c r="E2" s="3" t="s">
        <v>41</v>
      </c>
      <c r="F2" s="3" t="s">
        <v>42</v>
      </c>
      <c r="G2" s="3" t="s">
        <v>64</v>
      </c>
      <c r="J2" s="15" t="s">
        <v>65</v>
      </c>
      <c r="K2" s="15">
        <v>1680</v>
      </c>
    </row>
    <row r="3" spans="1:11" x14ac:dyDescent="0.25">
      <c r="A3" s="3" t="s">
        <v>43</v>
      </c>
      <c r="B3" s="12">
        <f>SUM(B5:B25)</f>
        <v>2.0666666666666664</v>
      </c>
      <c r="C3" s="12">
        <f t="shared" ref="C3:F3" si="0">SUM(C5:C25)</f>
        <v>8.2470238095238102</v>
      </c>
      <c r="D3" s="12">
        <f t="shared" si="0"/>
        <v>4.5011904761904766</v>
      </c>
      <c r="E3" s="12">
        <f t="shared" si="0"/>
        <v>8.0351190476190482</v>
      </c>
      <c r="F3" s="12">
        <f t="shared" si="0"/>
        <v>3.7053571428571428</v>
      </c>
      <c r="G3" s="12">
        <f>SUM(B3:F3)</f>
        <v>26.555357142857144</v>
      </c>
    </row>
    <row r="4" spans="1:11" x14ac:dyDescent="0.25">
      <c r="A4" t="s">
        <v>44</v>
      </c>
    </row>
    <row r="5" spans="1:11" x14ac:dyDescent="0.25">
      <c r="A5" t="s">
        <v>45</v>
      </c>
      <c r="B5">
        <f>(SUM([1]Overview!AB4,[2]Overview!AB4,[3]Overview!AB4,[4]Overview!AB4,[5]Overview!AB4,[6]Overview!AB4,[7]Overview!AB4,[8]Overview!AB4,[9]Overview!AB4,[10]Overview!AB4,[11]Overview!AB4))/$K$2</f>
        <v>0</v>
      </c>
      <c r="C5">
        <f>SUM([1]Overview!AC4,[2]Overview!AC4,[3]Overview!AC4,[4]Overview!AC4,[5]Overview!AC4,[6]Overview!AC4,[7]Overview!AC4,[8]Overview!AC4,[9]Overview!AC4,[10]Overview!AC4,[11]Overview!AC4)/$K$2</f>
        <v>0</v>
      </c>
      <c r="D5">
        <f>SUM([1]Overview!AD4,[2]Overview!AD4,[3]Overview!AD4,[4]Overview!AD4,[5]Overview!AD4,[6]Overview!AD4,[7]Overview!AD4,[8]Overview!AD4,[9]Overview!AD4,[10]Overview!AD4,[11]Overview!AD4)/$K$2</f>
        <v>0</v>
      </c>
      <c r="E5">
        <f>SUM([1]Overview!AE4,[2]Overview!AE4,[3]Overview!AE4,[4]Overview!AE4,[5]Overview!AE4,[6]Overview!AE4,[7]Overview!AE4,[8]Overview!AE4,[9]Overview!AE4,[10]Overview!AE4,[11]Overview!AE4)/$K$2</f>
        <v>0</v>
      </c>
      <c r="F5">
        <f>SUM([1]Overview!AF4,[2]Overview!AF4,[3]Overview!AF4,[4]Overview!AF4,[5]Overview!AF4,[6]Overview!AF4,[7]Overview!AF4,[8]Overview!AF4,[9]Overview!AF4,[10]Overview!AF4,[11]Overview!AF4)/$K$2</f>
        <v>0</v>
      </c>
    </row>
    <row r="6" spans="1:11" x14ac:dyDescent="0.25">
      <c r="A6" t="s">
        <v>46</v>
      </c>
      <c r="B6">
        <f>(SUM([1]Overview!AB5,[2]Overview!AB5,[3]Overview!AB5,[4]Overview!AB5,[5]Overview!AB5,[6]Overview!AB5,[7]Overview!AB5,[8]Overview!AB5,[9]Overview!AB5,[10]Overview!AB5,[11]Overview!AB5))/$K$2</f>
        <v>0</v>
      </c>
      <c r="C6">
        <f>SUM([1]Overview!AC5,[2]Overview!AC5,[3]Overview!AC5,[4]Overview!AC5,[5]Overview!AC5,[6]Overview!AC5,[7]Overview!AC5,[8]Overview!AC5,[9]Overview!AC5,[10]Overview!AC5,[11]Overview!AC5)/$K$2</f>
        <v>0</v>
      </c>
      <c r="D6">
        <f>SUM([1]Overview!AD5,[2]Overview!AD5,[3]Overview!AD5,[4]Overview!AD5,[5]Overview!AD5,[6]Overview!AD5,[7]Overview!AD5,[8]Overview!AD5,[9]Overview!AD5,[10]Overview!AD5,[11]Overview!AD5)/$K$2</f>
        <v>0</v>
      </c>
      <c r="E6">
        <f>SUM([1]Overview!AE5,[2]Overview!AE5,[3]Overview!AE5,[4]Overview!AE5,[5]Overview!AE5,[6]Overview!AE5,[7]Overview!AE5,[8]Overview!AE5,[9]Overview!AE5,[10]Overview!AE5,[11]Overview!AE5)/$K$2</f>
        <v>0</v>
      </c>
      <c r="F6">
        <f>SUM([1]Overview!AF5,[2]Overview!AF5,[3]Overview!AF5,[4]Overview!AF5,[5]Overview!AF5,[6]Overview!AF5,[7]Overview!AF5,[8]Overview!AF5,[9]Overview!AF5,[10]Overview!AF5,[11]Overview!AF5)/$K$2</f>
        <v>0</v>
      </c>
    </row>
    <row r="7" spans="1:11" x14ac:dyDescent="0.25">
      <c r="A7" t="s">
        <v>47</v>
      </c>
      <c r="B7">
        <f>(SUM([1]Overview!AB6,[2]Overview!AB6,[3]Overview!AB6,[4]Overview!AB6,[5]Overview!AB6,[6]Overview!AB6,[7]Overview!AB6,[8]Overview!AB6,[9]Overview!AB6,[10]Overview!AB6,[11]Overview!AB6))/$K$2</f>
        <v>0</v>
      </c>
      <c r="C7">
        <f>SUM([1]Overview!AC6,[2]Overview!AC6,[3]Overview!AC6,[4]Overview!AC6,[5]Overview!AC6,[6]Overview!AC6,[7]Overview!AC6,[8]Overview!AC6,[9]Overview!AC6,[10]Overview!AC6,[11]Overview!AC6)/$K$2</f>
        <v>0</v>
      </c>
      <c r="D7">
        <f>SUM([1]Overview!AD6,[2]Overview!AD6,[3]Overview!AD6,[4]Overview!AD6,[5]Overview!AD6,[6]Overview!AD6,[7]Overview!AD6,[8]Overview!AD6,[9]Overview!AD6,[10]Overview!AD6,[11]Overview!AD6)/$K$2</f>
        <v>0</v>
      </c>
      <c r="E7">
        <f>SUM([1]Overview!AE6,[2]Overview!AE6,[3]Overview!AE6,[4]Overview!AE6,[5]Overview!AE6,[6]Overview!AE6,[7]Overview!AE6,[8]Overview!AE6,[9]Overview!AE6,[10]Overview!AE6,[11]Overview!AE6)/$K$2</f>
        <v>0</v>
      </c>
      <c r="F7">
        <f>SUM([1]Overview!AF6,[2]Overview!AF6,[3]Overview!AF6,[4]Overview!AF6,[5]Overview!AF6,[6]Overview!AF6,[7]Overview!AF6,[8]Overview!AF6,[9]Overview!AF6,[10]Overview!AF6,[11]Overview!AF6)/$K$2</f>
        <v>0</v>
      </c>
    </row>
    <row r="8" spans="1:11" x14ac:dyDescent="0.25">
      <c r="A8" t="s">
        <v>48</v>
      </c>
      <c r="B8">
        <f>(SUM([1]Overview!AB7,[2]Overview!AB7,[3]Overview!AB7,[4]Overview!AB7,[5]Overview!AB7,[6]Overview!AB7,[7]Overview!AB7,[8]Overview!AB7,[9]Overview!AB7,[10]Overview!AB7,[11]Overview!AB7))/$K$2</f>
        <v>0</v>
      </c>
      <c r="C8">
        <f>SUM([1]Overview!AC7,[2]Overview!AC7,[3]Overview!AC7,[4]Overview!AC7,[5]Overview!AC7,[6]Overview!AC7,[7]Overview!AC7,[8]Overview!AC7,[9]Overview!AC7,[10]Overview!AC7,[11]Overview!AC7)/$K$2</f>
        <v>0</v>
      </c>
      <c r="D8">
        <f>SUM([1]Overview!AD7,[2]Overview!AD7,[3]Overview!AD7,[4]Overview!AD7,[5]Overview!AD7,[6]Overview!AD7,[7]Overview!AD7,[8]Overview!AD7,[9]Overview!AD7,[10]Overview!AD7,[11]Overview!AD7)/$K$2</f>
        <v>0</v>
      </c>
      <c r="E8">
        <f>SUM([1]Overview!AE7,[2]Overview!AE7,[3]Overview!AE7,[4]Overview!AE7,[5]Overview!AE7,[6]Overview!AE7,[7]Overview!AE7,[8]Overview!AE7,[9]Overview!AE7,[10]Overview!AE7,[11]Overview!AE7)/$K$2</f>
        <v>0</v>
      </c>
      <c r="F8">
        <f>SUM([1]Overview!AF7,[2]Overview!AF7,[3]Overview!AF7,[4]Overview!AF7,[5]Overview!AF7,[6]Overview!AF7,[7]Overview!AF7,[8]Overview!AF7,[9]Overview!AF7,[10]Overview!AF7,[11]Overview!AF7)/$K$2</f>
        <v>0</v>
      </c>
    </row>
    <row r="9" spans="1:11" x14ac:dyDescent="0.25">
      <c r="A9" t="s">
        <v>49</v>
      </c>
      <c r="B9">
        <f>(SUM([1]Overview!AB8,[2]Overview!AB8,[3]Overview!AB8,[4]Overview!AB8,[5]Overview!AB8,[6]Overview!AB8,[7]Overview!AB8,[8]Overview!AB8,[9]Overview!AB8,[10]Overview!AB8,[11]Overview!AB8))/$K$2</f>
        <v>0</v>
      </c>
      <c r="C9">
        <f>SUM([1]Overview!AC8,[2]Overview!AC8,[3]Overview!AC8,[4]Overview!AC8,[5]Overview!AC8,[6]Overview!AC8,[7]Overview!AC8,[8]Overview!AC8,[9]Overview!AC8,[10]Overview!AC8,[11]Overview!AC8)/$K$2</f>
        <v>0</v>
      </c>
      <c r="D9">
        <f>SUM([1]Overview!AD8,[2]Overview!AD8,[3]Overview!AD8,[4]Overview!AD8,[5]Overview!AD8,[6]Overview!AD8,[7]Overview!AD8,[8]Overview!AD8,[9]Overview!AD8,[10]Overview!AD8,[11]Overview!AD8)/$K$2</f>
        <v>0</v>
      </c>
      <c r="E9">
        <f>SUM([1]Overview!AE8,[2]Overview!AE8,[3]Overview!AE8,[4]Overview!AE8,[5]Overview!AE8,[6]Overview!AE8,[7]Overview!AE8,[8]Overview!AE8,[9]Overview!AE8,[10]Overview!AE8,[11]Overview!AE8)/$K$2</f>
        <v>0</v>
      </c>
      <c r="F9">
        <f>SUM([1]Overview!AF8,[2]Overview!AF8,[3]Overview!AF8,[4]Overview!AF8,[5]Overview!AF8,[6]Overview!AF8,[7]Overview!AF8,[8]Overview!AF8,[9]Overview!AF8,[10]Overview!AF8,[11]Overview!AF8)/$K$2</f>
        <v>0</v>
      </c>
    </row>
    <row r="10" spans="1:11" x14ac:dyDescent="0.25">
      <c r="A10" t="s">
        <v>50</v>
      </c>
      <c r="B10">
        <f>(SUM([1]Overview!AB9,[2]Overview!AB9,[3]Overview!AB9,[4]Overview!AB9,[5]Overview!AB9,[6]Overview!AB9,[7]Overview!AB9,[8]Overview!AB9,[9]Overview!AB9,[10]Overview!AB9,[11]Overview!AB9))/$K$2</f>
        <v>0</v>
      </c>
      <c r="C10">
        <f>SUM([1]Overview!AC9,[2]Overview!AC9,[3]Overview!AC9,[4]Overview!AC9,[5]Overview!AC9,[6]Overview!AC9,[7]Overview!AC9,[8]Overview!AC9,[9]Overview!AC9,[10]Overview!AC9,[11]Overview!AC9)/$K$2</f>
        <v>0</v>
      </c>
      <c r="D10">
        <f>SUM([1]Overview!AD9,[2]Overview!AD9,[3]Overview!AD9,[4]Overview!AD9,[5]Overview!AD9,[6]Overview!AD9,[7]Overview!AD9,[8]Overview!AD9,[9]Overview!AD9,[10]Overview!AD9,[11]Overview!AD9)/$K$2</f>
        <v>0</v>
      </c>
      <c r="E10">
        <f>SUM([1]Overview!AE9,[2]Overview!AE9,[3]Overview!AE9,[4]Overview!AE9,[5]Overview!AE9,[6]Overview!AE9,[7]Overview!AE9,[8]Overview!AE9,[9]Overview!AE9,[10]Overview!AE9,[11]Overview!AE9)/$K$2</f>
        <v>2.5000000000000001E-2</v>
      </c>
      <c r="F10">
        <f>SUM([1]Overview!AF9,[2]Overview!AF9,[3]Overview!AF9,[4]Overview!AF9,[5]Overview!AF9,[6]Overview!AF9,[7]Overview!AF9,[8]Overview!AF9,[9]Overview!AF9,[10]Overview!AF9,[11]Overview!AF9)/$K$2</f>
        <v>0</v>
      </c>
    </row>
    <row r="11" spans="1:11" x14ac:dyDescent="0.25">
      <c r="A11" t="s">
        <v>51</v>
      </c>
      <c r="B11">
        <f>(SUM([1]Overview!AB10,[2]Overview!AB10,[3]Overview!AB10,[4]Overview!AB10,[5]Overview!AB10,[6]Overview!AB10,[7]Overview!AB10,[8]Overview!AB10,[9]Overview!AB10,[10]Overview!AB10,[11]Overview!AB10))/$K$2</f>
        <v>0</v>
      </c>
      <c r="C11">
        <f>SUM([1]Overview!AC10,[2]Overview!AC10,[3]Overview!AC10,[4]Overview!AC10,[5]Overview!AC10,[6]Overview!AC10,[7]Overview!AC10,[8]Overview!AC10,[9]Overview!AC10,[10]Overview!AC10,[11]Overview!AC10)/$K$2</f>
        <v>0</v>
      </c>
      <c r="D11">
        <f>SUM([1]Overview!AD10,[2]Overview!AD10,[3]Overview!AD10,[4]Overview!AD10,[5]Overview!AD10,[6]Overview!AD10,[7]Overview!AD10,[8]Overview!AD10,[9]Overview!AD10,[10]Overview!AD10,[11]Overview!AD10)/$K$2</f>
        <v>0</v>
      </c>
      <c r="E11">
        <f>SUM([1]Overview!AE10,[2]Overview!AE10,[3]Overview!AE10,[4]Overview!AE10,[5]Overview!AE10,[6]Overview!AE10,[7]Overview!AE10,[8]Overview!AE10,[9]Overview!AE10,[10]Overview!AE10,[11]Overview!AE10)/$K$2</f>
        <v>0</v>
      </c>
      <c r="F11">
        <f>SUM([1]Overview!AF10,[2]Overview!AF10,[3]Overview!AF10,[4]Overview!AF10,[5]Overview!AF10,[6]Overview!AF10,[7]Overview!AF10,[8]Overview!AF10,[9]Overview!AF10,[10]Overview!AF10,[11]Overview!AF10)/$K$2</f>
        <v>0</v>
      </c>
    </row>
    <row r="12" spans="1:11" x14ac:dyDescent="0.25">
      <c r="A12" t="s">
        <v>52</v>
      </c>
      <c r="B12">
        <f>(SUM([1]Overview!AB11,[2]Overview!AB11,[3]Overview!AB11,[4]Overview!AB11,[5]Overview!AB11,[6]Overview!AB11,[7]Overview!AB11,[8]Overview!AB11,[9]Overview!AB11,[10]Overview!AB11,[11]Overview!AB11))/$K$2</f>
        <v>0</v>
      </c>
      <c r="C12">
        <f>SUM([1]Overview!AC11,[2]Overview!AC11,[3]Overview!AC11,[4]Overview!AC11,[5]Overview!AC11,[6]Overview!AC11,[7]Overview!AC11,[8]Overview!AC11,[9]Overview!AC11,[10]Overview!AC11,[11]Overview!AC11)/$K$2</f>
        <v>0</v>
      </c>
      <c r="D12">
        <f>SUM([1]Overview!AD11,[2]Overview!AD11,[3]Overview!AD11,[4]Overview!AD11,[5]Overview!AD11,[6]Overview!AD11,[7]Overview!AD11,[8]Overview!AD11,[9]Overview!AD11,[10]Overview!AD11,[11]Overview!AD11)/$K$2</f>
        <v>0.17499999999999999</v>
      </c>
      <c r="E12">
        <f>SUM([1]Overview!AE11,[2]Overview!AE11,[3]Overview!AE11,[4]Overview!AE11,[5]Overview!AE11,[6]Overview!AE11,[7]Overview!AE11,[8]Overview!AE11,[9]Overview!AE11,[10]Overview!AE11,[11]Overview!AE11)/$K$2</f>
        <v>3.0726190476190478</v>
      </c>
      <c r="F12">
        <f>SUM([1]Overview!AF11,[2]Overview!AF11,[3]Overview!AF11,[4]Overview!AF11,[5]Overview!AF11,[6]Overview!AF11,[7]Overview!AF11,[8]Overview!AF11,[9]Overview!AF11,[10]Overview!AF11,[11]Overview!AF11)/$K$2</f>
        <v>0.53809523809523807</v>
      </c>
    </row>
    <row r="13" spans="1:11" x14ac:dyDescent="0.25">
      <c r="A13" t="s">
        <v>53</v>
      </c>
      <c r="B13">
        <f>(SUM([1]Overview!AB12,[2]Overview!AB12,[3]Overview!AB12,[4]Overview!AB12,[5]Overview!AB12,[6]Overview!AB12,[7]Overview!AB12,[8]Overview!AB12,[9]Overview!AB12,[10]Overview!AB12,[11]Overview!AB12))/$K$2</f>
        <v>0</v>
      </c>
      <c r="C13">
        <f>SUM([1]Overview!AC12,[2]Overview!AC12,[3]Overview!AC12,[4]Overview!AC12,[5]Overview!AC12,[6]Overview!AC12,[7]Overview!AC12,[8]Overview!AC12,[9]Overview!AC12,[10]Overview!AC12,[11]Overview!AC12)/$K$2</f>
        <v>0</v>
      </c>
      <c r="D13">
        <f>SUM([1]Overview!AD12,[2]Overview!AD12,[3]Overview!AD12,[4]Overview!AD12,[5]Overview!AD12,[6]Overview!AD12,[7]Overview!AD12,[8]Overview!AD12,[9]Overview!AD12,[10]Overview!AD12,[11]Overview!AD12)/$K$2</f>
        <v>0</v>
      </c>
      <c r="E13">
        <f>SUM([1]Overview!AE12,[2]Overview!AE12,[3]Overview!AE12,[4]Overview!AE12,[5]Overview!AE12,[6]Overview!AE12,[7]Overview!AE12,[8]Overview!AE12,[9]Overview!AE12,[10]Overview!AE12,[11]Overview!AE12)/$K$2</f>
        <v>0</v>
      </c>
      <c r="F13">
        <f>SUM([1]Overview!AF12,[2]Overview!AF12,[3]Overview!AF12,[4]Overview!AF12,[5]Overview!AF12,[6]Overview!AF12,[7]Overview!AF12,[8]Overview!AF12,[9]Overview!AF12,[10]Overview!AF12,[11]Overview!AF12)/$K$2</f>
        <v>0</v>
      </c>
    </row>
    <row r="14" spans="1:11" x14ac:dyDescent="0.25">
      <c r="A14" t="s">
        <v>54</v>
      </c>
      <c r="B14">
        <f>(SUM([1]Overview!AB13,[2]Overview!AB13,[3]Overview!AB13,[4]Overview!AB13,[5]Overview!AB13,[6]Overview!AB13,[7]Overview!AB13,[8]Overview!AB13,[9]Overview!AB13,[10]Overview!AB13,[11]Overview!AB13))/$K$2</f>
        <v>0</v>
      </c>
      <c r="C14">
        <f>SUM([1]Overview!AC13,[2]Overview!AC13,[3]Overview!AC13,[4]Overview!AC13,[5]Overview!AC13,[6]Overview!AC13,[7]Overview!AC13,[8]Overview!AC13,[9]Overview!AC13,[10]Overview!AC13,[11]Overview!AC13)/$K$2</f>
        <v>0</v>
      </c>
      <c r="D14">
        <f>SUM([1]Overview!AD13,[2]Overview!AD13,[3]Overview!AD13,[4]Overview!AD13,[5]Overview!AD13,[6]Overview!AD13,[7]Overview!AD13,[8]Overview!AD13,[9]Overview!AD13,[10]Overview!AD13,[11]Overview!AD13)/$K$2</f>
        <v>0.35</v>
      </c>
      <c r="E14">
        <f>SUM([1]Overview!AE13,[2]Overview!AE13,[3]Overview!AE13,[4]Overview!AE13,[5]Overview!AE13,[6]Overview!AE13,[7]Overview!AE13,[8]Overview!AE13,[9]Overview!AE13,[10]Overview!AE13,[11]Overview!AE13)/$K$2</f>
        <v>1.6839285714285714</v>
      </c>
      <c r="F14">
        <f>SUM([1]Overview!AF13,[2]Overview!AF13,[3]Overview!AF13,[4]Overview!AF13,[5]Overview!AF13,[6]Overview!AF13,[7]Overview!AF13,[8]Overview!AF13,[9]Overview!AF13,[10]Overview!AF13,[11]Overview!AF13)/$K$2</f>
        <v>0.65476190476190477</v>
      </c>
    </row>
    <row r="15" spans="1:11" x14ac:dyDescent="0.25">
      <c r="A15" t="s">
        <v>66</v>
      </c>
      <c r="B15">
        <f>(SUM([1]Overview!AB14,[2]Overview!AB14,[3]Overview!AB14,[4]Overview!AB14,[5]Overview!AB14,[6]Overview!AB14,[7]Overview!AB14,[8]Overview!AB14,[9]Overview!AB14,[10]Overview!AB14,[11]Overview!AB14))/$K$2</f>
        <v>0</v>
      </c>
      <c r="C15">
        <f>SUM([1]Overview!AC14,[2]Overview!AC14,[3]Overview!AC14,[4]Overview!AC14,[5]Overview!AC14,[6]Overview!AC14,[7]Overview!AC14,[8]Overview!AC14,[9]Overview!AC14,[10]Overview!AC14,[11]Overview!AC14)/$K$2</f>
        <v>0</v>
      </c>
      <c r="D15">
        <f>SUM([1]Overview!AD14,[2]Overview!AD14,[3]Overview!AD14,[4]Overview!AD14,[5]Overview!AD14,[6]Overview!AD14,[7]Overview!AD14,[8]Overview!AD14,[9]Overview!AD14,[10]Overview!AD14,[11]Overview!AD14)/$K$2</f>
        <v>0.3</v>
      </c>
      <c r="E15">
        <f>SUM([1]Overview!AE14,[2]Overview!AE14,[3]Overview!AE14,[4]Overview!AE14,[5]Overview!AE14,[6]Overview!AE14,[7]Overview!AE14,[8]Overview!AE14,[9]Overview!AE14,[10]Overview!AE14,[11]Overview!AE14)/$K$2</f>
        <v>9.5238095238095247E-3</v>
      </c>
      <c r="F15">
        <f>SUM([1]Overview!AF14,[2]Overview!AF14,[3]Overview!AF14,[4]Overview!AF14,[5]Overview!AF14,[6]Overview!AF14,[7]Overview!AF14,[8]Overview!AF14,[9]Overview!AF14,[10]Overview!AF14,[11]Overview!AF14)/$K$2</f>
        <v>0</v>
      </c>
    </row>
    <row r="16" spans="1:11" x14ac:dyDescent="0.25">
      <c r="A16" t="s">
        <v>67</v>
      </c>
      <c r="B16">
        <f>(SUM([1]Overview!AB15,[2]Overview!AB15,[3]Overview!AB15,[4]Overview!AB15,[5]Overview!AB15,[6]Overview!AB15,[7]Overview!AB15,[8]Overview!AB15,[9]Overview!AB15,[10]Overview!AB15,[11]Overview!AB15))/$K$2</f>
        <v>0</v>
      </c>
      <c r="C16">
        <f>SUM([1]Overview!AC15,[2]Overview!AC15,[3]Overview!AC15,[4]Overview!AC15,[5]Overview!AC15,[6]Overview!AC15,[7]Overview!AC15,[8]Overview!AC15,[9]Overview!AC15,[10]Overview!AC15,[11]Overview!AC15)/$K$2</f>
        <v>0</v>
      </c>
      <c r="D16">
        <f>SUM([1]Overview!AD15,[2]Overview!AD15,[3]Overview!AD15,[4]Overview!AD15,[5]Overview!AD15,[6]Overview!AD15,[7]Overview!AD15,[8]Overview!AD15,[9]Overview!AD15,[10]Overview!AD15,[11]Overview!AD15)/$K$2</f>
        <v>2.3250000000000002</v>
      </c>
      <c r="E16">
        <f>SUM([1]Overview!AE15,[2]Overview!AE15,[3]Overview!AE15,[4]Overview!AE15,[5]Overview!AE15,[6]Overview!AE15,[7]Overview!AE15,[8]Overview!AE15,[9]Overview!AE15,[10]Overview!AE15,[11]Overview!AE15)/$K$2</f>
        <v>1.5428571428571429</v>
      </c>
      <c r="F16">
        <f>SUM([1]Overview!AF15,[2]Overview!AF15,[3]Overview!AF15,[4]Overview!AF15,[5]Overview!AF15,[6]Overview!AF15,[7]Overview!AF15,[8]Overview!AF15,[9]Overview!AF15,[10]Overview!AF15,[11]Overview!AF15)/$K$2</f>
        <v>0.17499999999999999</v>
      </c>
    </row>
    <row r="17" spans="1:6" x14ac:dyDescent="0.25">
      <c r="A17" t="s">
        <v>55</v>
      </c>
      <c r="B17">
        <f>(SUM([1]Overview!AB16,[2]Overview!AB16,[3]Overview!AB16,[4]Overview!AB16,[5]Overview!AB16,[6]Overview!AB16,[7]Overview!AB16,[8]Overview!AB16,[9]Overview!AB16,[10]Overview!AB16,[11]Overview!AB16))/$K$2</f>
        <v>0</v>
      </c>
      <c r="C17">
        <f>SUM([1]Overview!AC16,[2]Overview!AC16,[3]Overview!AC16,[4]Overview!AC16,[5]Overview!AC16,[6]Overview!AC16,[7]Overview!AC16,[8]Overview!AC16,[9]Overview!AC16,[10]Overview!AC16,[11]Overview!AC16)/$K$2</f>
        <v>0</v>
      </c>
      <c r="D17">
        <f>SUM([1]Overview!AD16,[2]Overview!AD16,[3]Overview!AD16,[4]Overview!AD16,[5]Overview!AD16,[6]Overview!AD16,[7]Overview!AD16,[8]Overview!AD16,[9]Overview!AD16,[10]Overview!AD16,[11]Overview!AD16)/$K$2</f>
        <v>0</v>
      </c>
      <c r="E17">
        <f>SUM([1]Overview!AE16,[2]Overview!AE16,[3]Overview!AE16,[4]Overview!AE16,[5]Overview!AE16,[6]Overview!AE16,[7]Overview!AE16,[8]Overview!AE16,[9]Overview!AE16,[10]Overview!AE16,[11]Overview!AE16)/$K$2</f>
        <v>0</v>
      </c>
      <c r="F17">
        <f>SUM([1]Overview!AF16,[2]Overview!AF16,[3]Overview!AF16,[4]Overview!AF16,[5]Overview!AF16,[6]Overview!AF16,[7]Overview!AF16,[8]Overview!AF16,[9]Overview!AF16,[10]Overview!AF16,[11]Overview!AF16)/$K$2</f>
        <v>0</v>
      </c>
    </row>
    <row r="18" spans="1:6" x14ac:dyDescent="0.25">
      <c r="A18" t="s">
        <v>56</v>
      </c>
      <c r="B18">
        <f>(SUM([1]Overview!AB17,[2]Overview!AB17,[3]Overview!AB17,[4]Overview!AB17,[5]Overview!AB17,[6]Overview!AB17,[7]Overview!AB17,[8]Overview!AB17,[9]Overview!AB17,[10]Overview!AB17,[11]Overview!AB17))/$K$2</f>
        <v>0</v>
      </c>
      <c r="C18">
        <f>SUM([1]Overview!AC17,[2]Overview!AC17,[3]Overview!AC17,[4]Overview!AC17,[5]Overview!AC17,[6]Overview!AC17,[7]Overview!AC17,[8]Overview!AC17,[9]Overview!AC17,[10]Overview!AC17,[11]Overview!AC17)/$K$2</f>
        <v>0</v>
      </c>
      <c r="D18">
        <f>SUM([1]Overview!AD17,[2]Overview!AD17,[3]Overview!AD17,[4]Overview!AD17,[5]Overview!AD17,[6]Overview!AD17,[7]Overview!AD17,[8]Overview!AD17,[9]Overview!AD17,[10]Overview!AD17,[11]Overview!AD17)/$K$2</f>
        <v>0</v>
      </c>
      <c r="E18">
        <f>SUM([1]Overview!AE17,[2]Overview!AE17,[3]Overview!AE17,[4]Overview!AE17,[5]Overview!AE17,[6]Overview!AE17,[7]Overview!AE17,[8]Overview!AE17,[9]Overview!AE17,[10]Overview!AE17,[11]Overview!AE17)/$K$2</f>
        <v>0</v>
      </c>
      <c r="F18">
        <f>SUM([1]Overview!AF17,[2]Overview!AF17,[3]Overview!AF17,[4]Overview!AF17,[5]Overview!AF17,[6]Overview!AF17,[7]Overview!AF17,[8]Overview!AF17,[9]Overview!AF17,[10]Overview!AF17,[11]Overview!AF17)/$K$2</f>
        <v>0</v>
      </c>
    </row>
    <row r="19" spans="1:6" x14ac:dyDescent="0.25">
      <c r="A19" t="s">
        <v>57</v>
      </c>
      <c r="B19">
        <f>(SUM([1]Overview!AB18,[2]Overview!AB18,[3]Overview!AB18,[4]Overview!AB18,[5]Overview!AB18,[6]Overview!AB18,[7]Overview!AB18,[8]Overview!AB18,[9]Overview!AB18,[10]Overview!AB18,[11]Overview!AB18))/$K$2</f>
        <v>0</v>
      </c>
      <c r="C19">
        <f>SUM([1]Overview!AC18,[2]Overview!AC18,[3]Overview!AC18,[4]Overview!AC18,[5]Overview!AC18,[6]Overview!AC18,[7]Overview!AC18,[8]Overview!AC18,[9]Overview!AC18,[10]Overview!AC18,[11]Overview!AC18)/$K$2</f>
        <v>0.25</v>
      </c>
      <c r="D19">
        <f>SUM([1]Overview!AD18,[2]Overview!AD18,[3]Overview!AD18,[4]Overview!AD18,[5]Overview!AD18,[6]Overview!AD18,[7]Overview!AD18,[8]Overview!AD18,[9]Overview!AD18,[10]Overview!AD18,[11]Overview!AD18)/$K$2</f>
        <v>0</v>
      </c>
      <c r="E19">
        <f>SUM([1]Overview!AE18,[2]Overview!AE18,[3]Overview!AE18,[4]Overview!AE18,[5]Overview!AE18,[6]Overview!AE18,[7]Overview!AE18,[8]Overview!AE18,[9]Overview!AE18,[10]Overview!AE18,[11]Overview!AE18)/$K$2</f>
        <v>0.05</v>
      </c>
      <c r="F19">
        <f>SUM([1]Overview!AF18,[2]Overview!AF18,[3]Overview!AF18,[4]Overview!AF18,[5]Overview!AF18,[6]Overview!AF18,[7]Overview!AF18,[8]Overview!AF18,[9]Overview!AF18,[10]Overview!AF18,[11]Overview!AF18)/$K$2</f>
        <v>0</v>
      </c>
    </row>
    <row r="20" spans="1:6" x14ac:dyDescent="0.25">
      <c r="A20" t="s">
        <v>58</v>
      </c>
      <c r="B20">
        <f>(SUM([1]Overview!AB19,[2]Overview!AB19,[3]Overview!AB19,[4]Overview!AB19,[5]Overview!AB19,[6]Overview!AB19,[7]Overview!AB19,[8]Overview!AB19,[9]Overview!AB19,[10]Overview!AB19,[11]Overview!AB19))/$K$2</f>
        <v>0</v>
      </c>
      <c r="C20">
        <f>SUM([1]Overview!AC19,[2]Overview!AC19,[3]Overview!AC19,[4]Overview!AC19,[5]Overview!AC19,[6]Overview!AC19,[7]Overview!AC19,[8]Overview!AC19,[9]Overview!AC19,[10]Overview!AC19,[11]Overview!AC19)/$K$2</f>
        <v>0</v>
      </c>
      <c r="D20">
        <f>SUM([1]Overview!AD19,[2]Overview!AD19,[3]Overview!AD19,[4]Overview!AD19,[5]Overview!AD19,[6]Overview!AD19,[7]Overview!AD19,[8]Overview!AD19,[9]Overview!AD19,[10]Overview!AD19,[11]Overview!AD19)/$K$2</f>
        <v>0</v>
      </c>
      <c r="E20">
        <f>SUM([1]Overview!AE19,[2]Overview!AE19,[3]Overview!AE19,[4]Overview!AE19,[5]Overview!AE19,[6]Overview!AE19,[7]Overview!AE19,[8]Overview!AE19,[9]Overview!AE19,[10]Overview!AE19,[11]Overview!AE19)/$K$2</f>
        <v>0</v>
      </c>
      <c r="F20">
        <f>SUM([1]Overview!AF19,[2]Overview!AF19,[3]Overview!AF19,[4]Overview!AF19,[5]Overview!AF19,[6]Overview!AF19,[7]Overview!AF19,[8]Overview!AF19,[9]Overview!AF19,[10]Overview!AF19,[11]Overview!AF19)/$K$2</f>
        <v>9.5238095238095247E-3</v>
      </c>
    </row>
    <row r="21" spans="1:6" x14ac:dyDescent="0.25">
      <c r="A21" t="s">
        <v>59</v>
      </c>
      <c r="B21">
        <f>(SUM([1]Overview!AB20,[2]Overview!AB20,[3]Overview!AB20,[4]Overview!AB20,[5]Overview!AB20,[6]Overview!AB20,[7]Overview!AB20,[8]Overview!AB20,[9]Overview!AB20,[10]Overview!AB20,[11]Overview!AB20))/$K$2</f>
        <v>0.85357142857142854</v>
      </c>
      <c r="C21">
        <f>SUM([1]Overview!AC20,[2]Overview!AC20,[3]Overview!AC20,[4]Overview!AC20,[5]Overview!AC20,[6]Overview!AC20,[7]Overview!AC20,[8]Overview!AC20,[9]Overview!AC20,[10]Overview!AC20,[11]Overview!AC20)/$K$2</f>
        <v>1.9571428571428571</v>
      </c>
      <c r="D21">
        <f>SUM([1]Overview!AD20,[2]Overview!AD20,[3]Overview!AD20,[4]Overview!AD20,[5]Overview!AD20,[6]Overview!AD20,[7]Overview!AD20,[8]Overview!AD20,[9]Overview!AD20,[10]Overview!AD20,[11]Overview!AD20)/$K$2</f>
        <v>0.1</v>
      </c>
      <c r="E21">
        <f>SUM([1]Overview!AE20,[2]Overview!AE20,[3]Overview!AE20,[4]Overview!AE20,[5]Overview!AE20,[6]Overview!AE20,[7]Overview!AE20,[8]Overview!AE20,[9]Overview!AE20,[10]Overview!AE20,[11]Overview!AE20)/$K$2</f>
        <v>0.2</v>
      </c>
      <c r="F21">
        <f>SUM([1]Overview!AF20,[2]Overview!AF20,[3]Overview!AF20,[4]Overview!AF20,[5]Overview!AF20,[6]Overview!AF20,[7]Overview!AF20,[8]Overview!AF20,[9]Overview!AF20,[10]Overview!AF20,[11]Overview!AF20)/$K$2</f>
        <v>1.0178571428571428</v>
      </c>
    </row>
    <row r="22" spans="1:6" x14ac:dyDescent="0.25">
      <c r="A22" t="s">
        <v>60</v>
      </c>
      <c r="B22">
        <f>(SUM([1]Overview!AB21,[2]Overview!AB21,[3]Overview!AB21,[4]Overview!AB21,[5]Overview!AB21,[6]Overview!AB21,[7]Overview!AB21,[8]Overview!AB21,[9]Overview!AB21,[10]Overview!AB21,[11]Overview!AB21))/$K$2</f>
        <v>1.1988095238095238</v>
      </c>
      <c r="C22">
        <f>SUM([1]Overview!AC21,[2]Overview!AC21,[3]Overview!AC21,[4]Overview!AC21,[5]Overview!AC21,[6]Overview!AC21,[7]Overview!AC21,[8]Overview!AC21,[9]Overview!AC21,[10]Overview!AC21,[11]Overview!AC21)/$K$2</f>
        <v>4.1827380952380953</v>
      </c>
      <c r="D22">
        <f>SUM([1]Overview!AD21,[2]Overview!AD21,[3]Overview!AD21,[4]Overview!AD21,[5]Overview!AD21,[6]Overview!AD21,[7]Overview!AD21,[8]Overview!AD21,[9]Overview!AD21,[10]Overview!AD21,[11]Overview!AD21)/$K$2</f>
        <v>0.46666666666666667</v>
      </c>
      <c r="E22">
        <f>SUM([1]Overview!AE21,[2]Overview!AE21,[3]Overview!AE21,[4]Overview!AE21,[5]Overview!AE21,[6]Overview!AE21,[7]Overview!AE21,[8]Overview!AE21,[9]Overview!AE21,[10]Overview!AE21,[11]Overview!AE21)/$K$2</f>
        <v>0.87857142857142856</v>
      </c>
      <c r="F22">
        <f>SUM([1]Overview!AF21,[2]Overview!AF21,[3]Overview!AF21,[4]Overview!AF21,[5]Overview!AF21,[6]Overview!AF21,[7]Overview!AF21,[8]Overview!AF21,[9]Overview!AF21,[10]Overview!AF21,[11]Overview!AF21)/$K$2</f>
        <v>1.1601190476190477</v>
      </c>
    </row>
    <row r="23" spans="1:6" x14ac:dyDescent="0.25">
      <c r="A23" t="s">
        <v>61</v>
      </c>
      <c r="B23">
        <f>(SUM([1]Overview!AB22,[2]Overview!AB22,[3]Overview!AB22,[4]Overview!AB22,[5]Overview!AB22,[6]Overview!AB22,[7]Overview!AB22,[8]Overview!AB22,[9]Overview!AB22,[10]Overview!AB22,[11]Overview!AB22))/$K$2</f>
        <v>1.4285714285714285E-2</v>
      </c>
      <c r="C23">
        <f>SUM([1]Overview!AC22,[2]Overview!AC22,[3]Overview!AC22,[4]Overview!AC22,[5]Overview!AC22,[6]Overview!AC22,[7]Overview!AC22,[8]Overview!AC22,[9]Overview!AC22,[10]Overview!AC22,[11]Overview!AC22)/$K$2</f>
        <v>1.7428571428571429</v>
      </c>
      <c r="D23">
        <f>SUM([1]Overview!AD22,[2]Overview!AD22,[3]Overview!AD22,[4]Overview!AD22,[5]Overview!AD22,[6]Overview!AD22,[7]Overview!AD22,[8]Overview!AD22,[9]Overview!AD22,[10]Overview!AD22,[11]Overview!AD22)/$K$2</f>
        <v>0.20952380952380953</v>
      </c>
      <c r="E23">
        <f>SUM([1]Overview!AE22,[2]Overview!AE22,[3]Overview!AE22,[4]Overview!AE22,[5]Overview!AE22,[6]Overview!AE22,[7]Overview!AE22,[8]Overview!AE22,[9]Overview!AE22,[10]Overview!AE22,[11]Overview!AE22)/$K$2</f>
        <v>0.4595238095238095</v>
      </c>
      <c r="F23">
        <f>SUM([1]Overview!AF22,[2]Overview!AF22,[3]Overview!AF22,[4]Overview!AF22,[5]Overview!AF22,[6]Overview!AF22,[7]Overview!AF22,[8]Overview!AF22,[9]Overview!AF22,[10]Overview!AF22,[11]Overview!AF22)/$K$2</f>
        <v>0.1</v>
      </c>
    </row>
    <row r="24" spans="1:6" x14ac:dyDescent="0.25">
      <c r="A24" t="s">
        <v>62</v>
      </c>
      <c r="B24">
        <f>(SUM([1]Overview!AB23,[2]Overview!AB23,[3]Overview!AB23,[4]Overview!AB23,[5]Overview!AB23,[6]Overview!AB23,[7]Overview!AB23,[8]Overview!AB23,[9]Overview!AB23,[10]Overview!AB23,[11]Overview!AB23))/$K$2</f>
        <v>0</v>
      </c>
      <c r="C24">
        <f>SUM([1]Overview!AC23,[2]Overview!AC23,[3]Overview!AC23,[4]Overview!AC23,[5]Overview!AC23,[6]Overview!AC23,[7]Overview!AC23,[8]Overview!AC23,[9]Overview!AC23,[10]Overview!AC23,[11]Overview!AC23)/$K$2</f>
        <v>0.11428571428571428</v>
      </c>
      <c r="D24">
        <f>SUM([1]Overview!AD23,[2]Overview!AD23,[3]Overview!AD23,[4]Overview!AD23,[5]Overview!AD23,[6]Overview!AD23,[7]Overview!AD23,[8]Overview!AD23,[9]Overview!AD23,[10]Overview!AD23,[11]Overview!AD23)/$K$2</f>
        <v>0.57499999999999996</v>
      </c>
      <c r="E24">
        <f>SUM([1]Overview!AE23,[2]Overview!AE23,[3]Overview!AE23,[4]Overview!AE23,[5]Overview!AE23,[6]Overview!AE23,[7]Overview!AE23,[8]Overview!AE23,[9]Overview!AE23,[10]Overview!AE23,[11]Overview!AE23)/$K$2</f>
        <v>0.1130952380952381</v>
      </c>
      <c r="F24">
        <f>SUM([1]Overview!AF23,[2]Overview!AF23,[3]Overview!AF23,[4]Overview!AF23,[5]Overview!AF23,[6]Overview!AF23,[7]Overview!AF23,[8]Overview!AF23,[9]Overview!AF23,[10]Overview!AF23,[11]Overview!AF23)/$K$2</f>
        <v>0.05</v>
      </c>
    </row>
    <row r="25" spans="1:6" x14ac:dyDescent="0.25">
      <c r="A25" t="s">
        <v>63</v>
      </c>
      <c r="B25">
        <f>(SUM([1]Overview!AB24,[2]Overview!AB24,[3]Overview!AB24,[4]Overview!AB24,[5]Overview!AB24,[6]Overview!AB24,[7]Overview!AB24,[8]Overview!AB24,[9]Overview!AB24,[10]Overview!AB24,[11]Overview!AB24))/$K$2</f>
        <v>0</v>
      </c>
      <c r="C25">
        <f>SUM([1]Overview!AC24,[2]Overview!AC24,[3]Overview!AC24,[4]Overview!AC24,[5]Overview!AC24,[6]Overview!AC24,[7]Overview!AC24,[8]Overview!AC24,[9]Overview!AC24,[10]Overview!AC24,[11]Overview!AC24)/$K$2</f>
        <v>0</v>
      </c>
      <c r="D25">
        <f>SUM([1]Overview!AD24,[2]Overview!AD24,[3]Overview!AD24,[4]Overview!AD24,[5]Overview!AD24,[6]Overview!AD24,[7]Overview!AD24,[8]Overview!AD24,[9]Overview!AD24,[10]Overview!AD24,[11]Overview!AD24)/$K$2</f>
        <v>0</v>
      </c>
      <c r="E25">
        <f>SUM([1]Overview!AE24,[2]Overview!AE24,[3]Overview!AE24,[4]Overview!AE24,[5]Overview!AE24,[6]Overview!AE24,[7]Overview!AE24,[8]Overview!AE24,[9]Overview!AE24,[10]Overview!AE24,[11]Overview!AE24)/$K$2</f>
        <v>0</v>
      </c>
      <c r="F25">
        <f>SUM([1]Overview!AF24,[2]Overview!AF24,[3]Overview!AF24,[4]Overview!AF24,[5]Overview!AF24,[6]Overview!AF24,[7]Overview!AF24,[8]Overview!AF24,[9]Overview!AF24,[10]Overview!AF24,[11]Overview!AF24)/$K$2</f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zoomScale="85" zoomScaleNormal="85" workbookViewId="0">
      <selection activeCell="D28" sqref="D28"/>
    </sheetView>
  </sheetViews>
  <sheetFormatPr defaultRowHeight="15" x14ac:dyDescent="0.25"/>
  <cols>
    <col min="1" max="1" width="11" customWidth="1"/>
    <col min="2" max="2" width="42.28515625" customWidth="1"/>
    <col min="3" max="3" width="20.7109375" customWidth="1"/>
    <col min="4" max="4" width="26.28515625" customWidth="1"/>
    <col min="5" max="5" width="17.85546875" customWidth="1"/>
    <col min="6" max="6" width="25.85546875" customWidth="1"/>
    <col min="8" max="8" width="18" customWidth="1"/>
    <col min="9" max="9" width="21.42578125" customWidth="1"/>
    <col min="10" max="10" width="22.28515625" customWidth="1"/>
    <col min="11" max="11" width="17.140625" customWidth="1"/>
    <col min="12" max="12" width="16.140625" customWidth="1"/>
    <col min="13" max="13" width="10" bestFit="1" customWidth="1"/>
  </cols>
  <sheetData>
    <row r="1" spans="1:13" ht="21" x14ac:dyDescent="0.35">
      <c r="A1" s="2" t="s">
        <v>0</v>
      </c>
      <c r="B1" s="2" t="s">
        <v>1</v>
      </c>
      <c r="C1" s="2" t="s">
        <v>3</v>
      </c>
      <c r="D1" s="2" t="s">
        <v>4</v>
      </c>
      <c r="E1" s="2" t="s">
        <v>5</v>
      </c>
      <c r="F1" s="3" t="s">
        <v>6</v>
      </c>
      <c r="H1" s="2" t="s">
        <v>20</v>
      </c>
      <c r="I1" s="2" t="s">
        <v>21</v>
      </c>
      <c r="J1" s="2" t="s">
        <v>22</v>
      </c>
      <c r="K1" s="2" t="s">
        <v>23</v>
      </c>
      <c r="L1" s="2" t="s">
        <v>24</v>
      </c>
      <c r="M1" s="2" t="s">
        <v>25</v>
      </c>
    </row>
    <row r="2" spans="1:13" x14ac:dyDescent="0.25">
      <c r="A2" t="str">
        <f>[1]Overview!A2</f>
        <v>13.6.9.1</v>
      </c>
      <c r="B2" t="str">
        <f>[1]Overview!B2</f>
        <v>Beam Transport and Conditioning System</v>
      </c>
      <c r="C2" s="1">
        <f>[1]Overview!C2</f>
        <v>2190.7795988990824</v>
      </c>
      <c r="D2" s="1">
        <f>[1]Overview!D2</f>
        <v>6074.4988256880742</v>
      </c>
      <c r="E2" s="1">
        <f>C2+D2</f>
        <v>8265.2784245871571</v>
      </c>
      <c r="F2" s="4">
        <f>E2/0.9</f>
        <v>9183.6426939857301</v>
      </c>
      <c r="H2" s="11">
        <f>[1]Overview!J$2/226</f>
        <v>0.97345132743362828</v>
      </c>
      <c r="I2" s="11">
        <f>[1]Overview!K$2/226</f>
        <v>4.3615676359039197</v>
      </c>
      <c r="J2" s="11">
        <f>[1]Overview!L$2/226</f>
        <v>3.0773282764433212</v>
      </c>
      <c r="K2" s="11">
        <f>[1]Overview!M$2/226</f>
        <v>3.1105141171512858</v>
      </c>
      <c r="L2" s="11">
        <f>[1]Overview!N$2/226</f>
        <v>2.0122208175305523</v>
      </c>
      <c r="M2" s="11">
        <f>SUM(H2:L2)</f>
        <v>13.535082174462708</v>
      </c>
    </row>
    <row r="3" spans="1:13" x14ac:dyDescent="0.25">
      <c r="A3" t="str">
        <f>[2]Overview!A2</f>
        <v>13.6.9.2</v>
      </c>
      <c r="B3" t="str">
        <f>[2]Overview!B2</f>
        <v>Sample Exposure System</v>
      </c>
      <c r="C3" s="1">
        <f>[2]Overview!C2</f>
        <v>184.41920000000002</v>
      </c>
      <c r="D3" s="1">
        <f>[2]Overview!D2</f>
        <v>451.43</v>
      </c>
      <c r="E3" s="1">
        <f t="shared" ref="E3:E16" si="0">C3+D3</f>
        <v>635.8492</v>
      </c>
      <c r="F3" s="4">
        <f t="shared" ref="F3:F18" si="1">E3/0.9</f>
        <v>706.49911111111112</v>
      </c>
      <c r="H3" s="11">
        <f>[2]Overview!J$2/226</f>
        <v>8.8495575221238937E-2</v>
      </c>
      <c r="I3" s="11">
        <f>[2]Overview!K$2/226</f>
        <v>0.37610619469026546</v>
      </c>
      <c r="J3" s="11">
        <f>[2]Overview!L$2/226</f>
        <v>0.19384745048461863</v>
      </c>
      <c r="K3" s="11">
        <f>[2]Overview!M$2/226</f>
        <v>0.22545301306363252</v>
      </c>
      <c r="L3" s="11">
        <f>[2]Overview!N$2/226</f>
        <v>0.25179098187947746</v>
      </c>
      <c r="M3" s="11">
        <f t="shared" ref="M3:M18" si="2">SUM(H3:L3)</f>
        <v>1.135693215339233</v>
      </c>
    </row>
    <row r="4" spans="1:13" x14ac:dyDescent="0.25">
      <c r="A4" t="str">
        <f>[3]Overview!A2</f>
        <v>13.6.9.3</v>
      </c>
      <c r="B4" t="str">
        <f>[3]Overview!B2</f>
        <v>Scattering Characterization System</v>
      </c>
      <c r="C4" s="1">
        <f>[3]Overview!C2</f>
        <v>213.81835844036695</v>
      </c>
      <c r="D4" s="1">
        <f>[3]Overview!D2</f>
        <v>907</v>
      </c>
      <c r="E4" s="1">
        <f t="shared" si="0"/>
        <v>1120.8183584403669</v>
      </c>
      <c r="F4" s="4">
        <f t="shared" si="1"/>
        <v>1245.3537316004076</v>
      </c>
      <c r="H4" s="11">
        <f>[3]Overview!J$2/226</f>
        <v>0.19911504424778761</v>
      </c>
      <c r="I4" s="11">
        <f>[3]Overview!K$2/226</f>
        <v>0.41877370417193427</v>
      </c>
      <c r="J4" s="11">
        <f>[3]Overview!L$2/226</f>
        <v>0.4024441635061104</v>
      </c>
      <c r="K4" s="11">
        <f>[3]Overview!M$2/226</f>
        <v>0.29603876949009689</v>
      </c>
      <c r="L4" s="11">
        <f>[3]Overview!N$2/226</f>
        <v>0.22439949431099873</v>
      </c>
      <c r="M4" s="11">
        <f t="shared" si="2"/>
        <v>1.540771175726928</v>
      </c>
    </row>
    <row r="5" spans="1:13" x14ac:dyDescent="0.25">
      <c r="A5" t="str">
        <f>[4]Overview!A2</f>
        <v>13.6.9.4</v>
      </c>
      <c r="B5" t="str">
        <f>[4]Overview!B2</f>
        <v>Optical Cave</v>
      </c>
      <c r="C5" s="1">
        <f>[4]Overview!C2</f>
        <v>0</v>
      </c>
      <c r="D5" s="1">
        <f>[4]Overview!D2</f>
        <v>0</v>
      </c>
      <c r="E5" s="1">
        <f t="shared" si="0"/>
        <v>0</v>
      </c>
      <c r="F5" s="4">
        <f t="shared" si="1"/>
        <v>0</v>
      </c>
      <c r="H5" s="11">
        <f>[4]Overview!J$2/226</f>
        <v>0</v>
      </c>
      <c r="I5" s="11">
        <f>[4]Overview!K$2/226</f>
        <v>0</v>
      </c>
      <c r="J5" s="11">
        <f>[4]Overview!L$2/226</f>
        <v>0</v>
      </c>
      <c r="K5" s="11">
        <f>[4]Overview!M$2/226</f>
        <v>0</v>
      </c>
      <c r="L5" s="11">
        <f>[4]Overview!N$2/226</f>
        <v>0</v>
      </c>
      <c r="M5" s="11">
        <f t="shared" si="2"/>
        <v>0</v>
      </c>
    </row>
    <row r="6" spans="1:13" x14ac:dyDescent="0.25">
      <c r="A6" t="str">
        <f>[5]Overview!A2</f>
        <v>13.6.9.5</v>
      </c>
      <c r="B6" t="str">
        <f>[5]Overview!B2</f>
        <v>Experimental Cave</v>
      </c>
      <c r="C6" s="1">
        <f>[5]Overview!C2</f>
        <v>309.88862000000006</v>
      </c>
      <c r="D6" s="1">
        <f>[5]Overview!D2</f>
        <v>657</v>
      </c>
      <c r="E6" s="1">
        <f t="shared" si="0"/>
        <v>966.88862000000006</v>
      </c>
      <c r="F6" s="4">
        <f t="shared" si="1"/>
        <v>1074.320688888889</v>
      </c>
      <c r="H6" s="11">
        <f>[5]Overview!J$2/226</f>
        <v>0.18752633796881585</v>
      </c>
      <c r="I6" s="11">
        <f>[5]Overview!K$2/226</f>
        <v>0.67214496418036251</v>
      </c>
      <c r="J6" s="11">
        <f>[5]Overview!L$2/226</f>
        <v>0.15486725663716813</v>
      </c>
      <c r="K6" s="11">
        <f>[5]Overview!M$2/226</f>
        <v>0.96186262115465671</v>
      </c>
      <c r="L6" s="11">
        <f>[5]Overview!N$2/226</f>
        <v>4.4247787610619468E-2</v>
      </c>
      <c r="M6" s="11">
        <f t="shared" si="2"/>
        <v>2.0206489675516224</v>
      </c>
    </row>
    <row r="7" spans="1:13" x14ac:dyDescent="0.25">
      <c r="A7" t="str">
        <f>[6]Overview!A2</f>
        <v>13.6.9.6</v>
      </c>
      <c r="B7" t="str">
        <f>[6]Overview!B2</f>
        <v>Control Hutch</v>
      </c>
      <c r="C7" s="1">
        <f>[6]Overview!C2</f>
        <v>45.340939999999989</v>
      </c>
      <c r="D7" s="1">
        <f>[6]Overview!D2</f>
        <v>71</v>
      </c>
      <c r="E7" s="1">
        <f t="shared" si="0"/>
        <v>116.34093999999999</v>
      </c>
      <c r="F7" s="4">
        <f t="shared" si="1"/>
        <v>129.26771111111108</v>
      </c>
      <c r="H7" s="11">
        <f>[6]Overview!J$2/226</f>
        <v>7.3746312684365781E-2</v>
      </c>
      <c r="I7" s="11">
        <f>[6]Overview!K$2/226</f>
        <v>4.4247787610619468E-2</v>
      </c>
      <c r="J7" s="11">
        <f>[6]Overview!L$2/226</f>
        <v>6.637168141592921E-2</v>
      </c>
      <c r="K7" s="11">
        <f>[6]Overview!M$2/226</f>
        <v>0.18015170670037922</v>
      </c>
      <c r="L7" s="11">
        <f>[6]Overview!N$2/226</f>
        <v>8.4281500210703752E-3</v>
      </c>
      <c r="M7" s="11">
        <f t="shared" si="2"/>
        <v>0.37294563843236406</v>
      </c>
    </row>
    <row r="8" spans="1:13" x14ac:dyDescent="0.25">
      <c r="A8" t="str">
        <f>[7]Overview!A2</f>
        <v>13.6.9.7</v>
      </c>
      <c r="B8" t="str">
        <f>[7]Overview!B2</f>
        <v>Sampe Preparation Area</v>
      </c>
      <c r="C8" s="1">
        <f>[7]Overview!C2</f>
        <v>21.558499999999999</v>
      </c>
      <c r="D8" s="1">
        <f>[7]Overview!D2</f>
        <v>11.16</v>
      </c>
      <c r="E8" s="1">
        <f t="shared" si="0"/>
        <v>32.718499999999999</v>
      </c>
      <c r="F8" s="4">
        <f t="shared" si="1"/>
        <v>36.353888888888889</v>
      </c>
      <c r="H8" s="11">
        <f>[7]Overview!J$2/226</f>
        <v>3.7926675094816689E-2</v>
      </c>
      <c r="I8" s="11">
        <f>[7]Overview!K$2/226</f>
        <v>3.0552043826380111E-2</v>
      </c>
      <c r="J8" s="11">
        <f>[7]Overview!L$2/226</f>
        <v>0</v>
      </c>
      <c r="K8" s="11">
        <f>[7]Overview!M$2/226</f>
        <v>0.10535187526337969</v>
      </c>
      <c r="L8" s="11">
        <f>[7]Overview!N$2/226</f>
        <v>0</v>
      </c>
      <c r="M8" s="11">
        <f t="shared" si="2"/>
        <v>0.1738305941845765</v>
      </c>
    </row>
    <row r="9" spans="1:13" x14ac:dyDescent="0.25">
      <c r="A9" t="str">
        <f>[8]Overview!A2</f>
        <v>13.6.9.8</v>
      </c>
      <c r="B9" t="str">
        <f>[8]Overview!B2</f>
        <v>Utilities Distribution</v>
      </c>
      <c r="C9" s="1">
        <f>[8]Overview!C2</f>
        <v>8.6414200000000001</v>
      </c>
      <c r="D9" s="1">
        <f>[8]Overview!D2</f>
        <v>28</v>
      </c>
      <c r="E9" s="1">
        <f t="shared" si="0"/>
        <v>36.641419999999997</v>
      </c>
      <c r="F9" s="4">
        <f t="shared" si="1"/>
        <v>40.712688888888884</v>
      </c>
      <c r="H9" s="11">
        <f>[8]Overview!J$2/226</f>
        <v>1.685630004214075E-2</v>
      </c>
      <c r="I9" s="11">
        <f>[8]Overview!K$2/226</f>
        <v>3.2659081331647702E-2</v>
      </c>
      <c r="J9" s="11">
        <f>[8]Overview!L$2/226</f>
        <v>0</v>
      </c>
      <c r="K9" s="11">
        <f>[8]Overview!M$2/226</f>
        <v>0</v>
      </c>
      <c r="L9" s="11">
        <f>[8]Overview!N$2/226</f>
        <v>0</v>
      </c>
      <c r="M9" s="11">
        <f t="shared" si="2"/>
        <v>4.9515381373788456E-2</v>
      </c>
    </row>
    <row r="10" spans="1:13" x14ac:dyDescent="0.25">
      <c r="A10" t="str">
        <f>[9]Overview!A2</f>
        <v>13.6.9.9.1</v>
      </c>
      <c r="B10" t="str">
        <f>[9]Overview!B2</f>
        <v>Support Infrastructure - Hall 1</v>
      </c>
      <c r="C10" s="1">
        <f>[9]Overview!C2</f>
        <v>88.535160000000005</v>
      </c>
      <c r="D10" s="1">
        <f>[9]Overview!D2</f>
        <v>145</v>
      </c>
      <c r="E10" s="1">
        <f t="shared" si="0"/>
        <v>233.53516000000002</v>
      </c>
      <c r="F10" s="4">
        <f t="shared" si="1"/>
        <v>259.48351111111111</v>
      </c>
      <c r="H10" s="11">
        <f>[9]Overview!J$2/226</f>
        <v>2.6337968815844923E-2</v>
      </c>
      <c r="I10" s="11">
        <f>[9]Overview!K$2/226</f>
        <v>0.19490096923725245</v>
      </c>
      <c r="J10" s="11">
        <f>[9]Overview!L$2/226</f>
        <v>0</v>
      </c>
      <c r="K10" s="11">
        <f>[9]Overview!M$2/226</f>
        <v>0.28761061946902655</v>
      </c>
      <c r="L10" s="11">
        <f>[9]Overview!N$2/226</f>
        <v>0.13274336283185842</v>
      </c>
      <c r="M10" s="11">
        <f t="shared" si="2"/>
        <v>0.6415929203539823</v>
      </c>
    </row>
    <row r="11" spans="1:13" x14ac:dyDescent="0.25">
      <c r="A11" t="str">
        <f>[10]Overview!A2</f>
        <v>13.6.9.10.1</v>
      </c>
      <c r="B11" t="str">
        <f>[10]Overview!B2</f>
        <v>Control Racks - Hall 1</v>
      </c>
      <c r="C11" s="1">
        <f>[10]Overview!C2</f>
        <v>558.07841000000008</v>
      </c>
      <c r="D11" s="1">
        <f>[10]Overview!D2</f>
        <v>146.26499999999999</v>
      </c>
      <c r="E11" s="1">
        <f t="shared" si="0"/>
        <v>704.34341000000006</v>
      </c>
      <c r="F11" s="4">
        <f t="shared" si="1"/>
        <v>782.60378888888897</v>
      </c>
      <c r="H11" s="11">
        <f>[10]Overview!J$2/226</f>
        <v>0.22123893805309736</v>
      </c>
      <c r="I11" s="11">
        <f>[10]Overview!K$2/226</f>
        <v>1.1630847029077114</v>
      </c>
      <c r="J11" s="11">
        <f>[10]Overview!L$2/226</f>
        <v>8.8495575221238937E-2</v>
      </c>
      <c r="K11" s="11">
        <f>[10]Overview!M$2/226</f>
        <v>1.9437420986093552</v>
      </c>
      <c r="L11" s="11">
        <f>[10]Overview!N$2/226</f>
        <v>0.60524652338811624</v>
      </c>
      <c r="M11" s="11">
        <f t="shared" si="2"/>
        <v>4.0218078381795186</v>
      </c>
    </row>
    <row r="12" spans="1:13" x14ac:dyDescent="0.25">
      <c r="A12" t="str">
        <f>[11]Overview!A2</f>
        <v>13.6.9.11</v>
      </c>
      <c r="B12" t="str">
        <f>[11]Overview!B2</f>
        <v>Integrated Control and Monitoring</v>
      </c>
      <c r="C12" s="1">
        <f>[11]Overview!C2</f>
        <v>0</v>
      </c>
      <c r="D12" s="1">
        <f>[11]Overview!D2</f>
        <v>0</v>
      </c>
      <c r="E12" s="1">
        <f t="shared" si="0"/>
        <v>0</v>
      </c>
      <c r="F12" s="4">
        <f t="shared" si="1"/>
        <v>0</v>
      </c>
      <c r="H12" s="11">
        <f>[11]Overview!J$2/226</f>
        <v>0</v>
      </c>
      <c r="I12" s="11">
        <f>[11]Overview!K$2/226</f>
        <v>0</v>
      </c>
      <c r="J12" s="11">
        <f>[11]Overview!L$2/226</f>
        <v>0</v>
      </c>
      <c r="K12" s="11">
        <f>[11]Overview!M$2/226</f>
        <v>0</v>
      </c>
      <c r="L12" s="11">
        <f>[11]Overview!N$2/226</f>
        <v>0</v>
      </c>
      <c r="M12" s="11">
        <f t="shared" si="2"/>
        <v>0</v>
      </c>
    </row>
    <row r="13" spans="1:13" x14ac:dyDescent="0.25">
      <c r="B13" t="s">
        <v>33</v>
      </c>
      <c r="C13" s="1">
        <v>81</v>
      </c>
      <c r="D13" s="1">
        <v>0</v>
      </c>
      <c r="E13" s="1">
        <f t="shared" si="0"/>
        <v>81</v>
      </c>
      <c r="F13" s="4">
        <f t="shared" si="1"/>
        <v>90</v>
      </c>
      <c r="H13" s="11"/>
      <c r="I13" s="11"/>
      <c r="J13" s="11"/>
      <c r="K13" s="11"/>
      <c r="L13" s="11"/>
      <c r="M13" s="11"/>
    </row>
    <row r="14" spans="1:13" x14ac:dyDescent="0.25">
      <c r="B14" t="s">
        <v>34</v>
      </c>
      <c r="C14" s="1">
        <v>150.5</v>
      </c>
      <c r="D14" s="1">
        <v>209.5</v>
      </c>
      <c r="E14" s="1">
        <f t="shared" si="0"/>
        <v>360</v>
      </c>
      <c r="F14" s="4">
        <f t="shared" si="1"/>
        <v>400</v>
      </c>
      <c r="H14" s="11"/>
      <c r="I14" s="11"/>
      <c r="J14" s="11"/>
      <c r="K14" s="11"/>
      <c r="L14" s="11"/>
      <c r="M14" s="11"/>
    </row>
    <row r="15" spans="1:13" x14ac:dyDescent="0.25">
      <c r="B15" t="s">
        <v>37</v>
      </c>
      <c r="C15" s="1">
        <v>0</v>
      </c>
      <c r="D15" s="1">
        <v>600</v>
      </c>
      <c r="E15" s="1">
        <f t="shared" si="0"/>
        <v>600</v>
      </c>
      <c r="F15" s="4"/>
      <c r="H15" s="11"/>
      <c r="I15" s="11"/>
      <c r="J15" s="11"/>
      <c r="K15" s="11"/>
      <c r="L15" s="11"/>
      <c r="M15" s="11"/>
    </row>
    <row r="16" spans="1:13" x14ac:dyDescent="0.25">
      <c r="B16" t="s">
        <v>2</v>
      </c>
      <c r="C16" s="1">
        <v>700</v>
      </c>
      <c r="D16" s="1">
        <v>50</v>
      </c>
      <c r="E16" s="1">
        <f t="shared" si="0"/>
        <v>750</v>
      </c>
      <c r="F16" s="4">
        <f t="shared" si="1"/>
        <v>833.33333333333326</v>
      </c>
      <c r="H16" s="11"/>
      <c r="I16" s="11"/>
      <c r="J16" s="11"/>
      <c r="K16" s="11"/>
      <c r="L16" s="11"/>
      <c r="M16" s="11">
        <v>3.25</v>
      </c>
    </row>
    <row r="17" spans="2:13" x14ac:dyDescent="0.25">
      <c r="C17" s="1"/>
      <c r="D17" s="1"/>
      <c r="E17" s="1"/>
      <c r="F17" s="4"/>
      <c r="H17" s="11"/>
      <c r="I17" s="11"/>
      <c r="J17" s="11"/>
      <c r="K17" s="11"/>
      <c r="L17" s="11"/>
      <c r="M17" s="11"/>
    </row>
    <row r="18" spans="2:13" x14ac:dyDescent="0.25">
      <c r="B18" t="s">
        <v>7</v>
      </c>
      <c r="C18" s="1">
        <f>'Changed Items for Option 1'!C2</f>
        <v>-604.32783999999992</v>
      </c>
      <c r="D18" s="1">
        <f>'Changed Items for Option 1'!D2</f>
        <v>-4437.5</v>
      </c>
      <c r="E18" s="1">
        <f t="shared" ref="E18" si="3">C18+D18</f>
        <v>-5041.8278399999999</v>
      </c>
      <c r="F18" s="4">
        <f t="shared" si="1"/>
        <v>-5602.0309333333335</v>
      </c>
      <c r="H18" s="1">
        <f>'Changed Items for Option 1'!H2</f>
        <v>-0.59292035398230081</v>
      </c>
      <c r="I18" s="1">
        <f>'Changed Items for Option 1'!I2</f>
        <v>-2.9193805309734513</v>
      </c>
      <c r="J18" s="1">
        <f>'Changed Items for Option 1'!J2</f>
        <v>-2.0707964601769913</v>
      </c>
      <c r="K18" s="1">
        <f>'Changed Items for Option 1'!K2</f>
        <v>-1.2964601769911503</v>
      </c>
      <c r="L18" s="1">
        <f>'Changed Items for Option 1'!L2</f>
        <v>-1.5663716814159294</v>
      </c>
      <c r="M18" s="11">
        <f t="shared" si="2"/>
        <v>-8.4459292035398228</v>
      </c>
    </row>
    <row r="19" spans="2:13" x14ac:dyDescent="0.25">
      <c r="C19" s="1"/>
      <c r="D19" s="1"/>
      <c r="E19" s="1"/>
      <c r="H19" s="11"/>
      <c r="I19" s="11"/>
      <c r="J19" s="11"/>
      <c r="K19" s="11"/>
      <c r="L19" s="11"/>
      <c r="M19" s="11"/>
    </row>
    <row r="20" spans="2:13" ht="15.75" x14ac:dyDescent="0.25">
      <c r="B20" s="8" t="s">
        <v>13</v>
      </c>
      <c r="C20" s="9">
        <f>SUM(C2:C16)+C18</f>
        <v>3948.2323673394494</v>
      </c>
      <c r="D20" s="9">
        <f>SUM(D2:D16)+D18</f>
        <v>4913.3538256880747</v>
      </c>
      <c r="E20" s="9">
        <f t="shared" ref="E20" si="4">C20+D20</f>
        <v>8861.5861930275241</v>
      </c>
      <c r="F20" s="10">
        <f>E20/0.9</f>
        <v>9846.2068811416939</v>
      </c>
      <c r="H20" s="9">
        <f>SUM(H2:H16)+H18</f>
        <v>1.2317741255794354</v>
      </c>
      <c r="I20" s="9">
        <f>SUM(I2:I16)+I18</f>
        <v>4.3746565528866421</v>
      </c>
      <c r="J20" s="9">
        <f>SUM(J2:J16)+J18</f>
        <v>1.9125579435313957</v>
      </c>
      <c r="K20" s="9">
        <f>SUM(K2:K16)+K18</f>
        <v>5.8142646439106613</v>
      </c>
      <c r="L20" s="9">
        <f>SUM(L2:L16)+L18</f>
        <v>1.7127054361567635</v>
      </c>
      <c r="M20" s="10">
        <f>SUM(H20:L20)+M$16</f>
        <v>18.295958702064897</v>
      </c>
    </row>
    <row r="21" spans="2:13" ht="21" x14ac:dyDescent="0.35">
      <c r="B21" s="8" t="s">
        <v>14</v>
      </c>
      <c r="C21" s="13">
        <f>SUM(C2:C16)</f>
        <v>4552.5602073394493</v>
      </c>
      <c r="D21" s="13">
        <f>SUM(D2:D16)</f>
        <v>9350.8538256880747</v>
      </c>
      <c r="E21" s="13">
        <f t="shared" ref="E21" si="5">C21+D21</f>
        <v>13903.414033027524</v>
      </c>
      <c r="F21" s="14">
        <f>E21/0.9</f>
        <v>15448.237814475026</v>
      </c>
      <c r="G21" s="5"/>
      <c r="H21" s="13">
        <f>SUM(H2:H16)</f>
        <v>1.8246944795617361</v>
      </c>
      <c r="I21" s="13">
        <f t="shared" ref="I21:L21" si="6">SUM(I2:I16)</f>
        <v>7.2940370838600934</v>
      </c>
      <c r="J21" s="13">
        <f t="shared" si="6"/>
        <v>3.983354403708387</v>
      </c>
      <c r="K21" s="13">
        <f t="shared" si="6"/>
        <v>7.1107248209018117</v>
      </c>
      <c r="L21" s="13">
        <f t="shared" si="6"/>
        <v>3.2790771175726929</v>
      </c>
      <c r="M21" s="14">
        <f t="shared" ref="M21" si="7">SUM(H21:L21)+M$16</f>
        <v>26.74188790560472</v>
      </c>
    </row>
    <row r="22" spans="2:13" ht="15.75" x14ac:dyDescent="0.25">
      <c r="M22" s="9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orkbookViewId="0">
      <selection activeCell="M41" sqref="M41"/>
    </sheetView>
  </sheetViews>
  <sheetFormatPr defaultRowHeight="15" x14ac:dyDescent="0.25"/>
  <cols>
    <col min="1" max="1" width="9.140625" style="7"/>
    <col min="2" max="2" width="38.5703125" customWidth="1"/>
    <col min="3" max="3" width="22.5703125" customWidth="1"/>
    <col min="4" max="4" width="28.85546875" customWidth="1"/>
    <col min="5" max="5" width="14.85546875" customWidth="1"/>
    <col min="7" max="7" width="18.7109375" customWidth="1"/>
  </cols>
  <sheetData>
    <row r="1" spans="1:12" ht="21" x14ac:dyDescent="0.35">
      <c r="A1" s="6" t="s">
        <v>9</v>
      </c>
      <c r="B1" s="2" t="s">
        <v>1</v>
      </c>
      <c r="C1" s="2" t="s">
        <v>3</v>
      </c>
      <c r="D1" s="2" t="s">
        <v>4</v>
      </c>
      <c r="E1" s="2" t="s">
        <v>5</v>
      </c>
      <c r="F1" s="5"/>
      <c r="H1" s="2" t="s">
        <v>26</v>
      </c>
      <c r="I1" s="2" t="s">
        <v>27</v>
      </c>
      <c r="J1" s="2" t="s">
        <v>28</v>
      </c>
      <c r="K1" s="2" t="s">
        <v>29</v>
      </c>
      <c r="L1" s="2" t="s">
        <v>30</v>
      </c>
    </row>
    <row r="2" spans="1:12" x14ac:dyDescent="0.25">
      <c r="B2" t="s">
        <v>8</v>
      </c>
      <c r="C2" s="1">
        <f>SUM(C4:C22)</f>
        <v>-604.32783999999992</v>
      </c>
      <c r="D2" s="1">
        <f>SUM(D4:D22)</f>
        <v>-4437.5</v>
      </c>
      <c r="E2" s="1">
        <f>C2+D2</f>
        <v>-5041.8278399999999</v>
      </c>
      <c r="H2" s="1">
        <f>SUM(H4:H22)</f>
        <v>-0.59292035398230081</v>
      </c>
      <c r="I2" s="1">
        <f t="shared" ref="I2:L2" si="0">SUM(I4:I22)</f>
        <v>-2.9193805309734513</v>
      </c>
      <c r="J2" s="1">
        <f t="shared" si="0"/>
        <v>-2.0707964601769913</v>
      </c>
      <c r="K2" s="1">
        <f t="shared" si="0"/>
        <v>-1.2964601769911503</v>
      </c>
      <c r="L2" s="1">
        <f t="shared" si="0"/>
        <v>-1.5663716814159294</v>
      </c>
    </row>
    <row r="3" spans="1:12" x14ac:dyDescent="0.25">
      <c r="C3" s="1"/>
      <c r="D3" s="1"/>
      <c r="E3" s="1"/>
    </row>
    <row r="4" spans="1:12" x14ac:dyDescent="0.25">
      <c r="A4" s="7" t="s">
        <v>11</v>
      </c>
      <c r="B4" t="s">
        <v>12</v>
      </c>
      <c r="C4" s="1">
        <v>-118</v>
      </c>
      <c r="D4" s="1">
        <v>-1400</v>
      </c>
      <c r="E4" s="1">
        <f t="shared" ref="E4:E18" si="1">C4+D4</f>
        <v>-1518</v>
      </c>
      <c r="J4">
        <f>-30/226</f>
        <v>-0.13274336283185842</v>
      </c>
      <c r="K4">
        <f>-80/226</f>
        <v>-0.35398230088495575</v>
      </c>
    </row>
    <row r="5" spans="1:12" x14ac:dyDescent="0.25">
      <c r="A5" s="7" t="s">
        <v>11</v>
      </c>
      <c r="B5" t="s">
        <v>32</v>
      </c>
      <c r="C5" s="1">
        <v>-29.5</v>
      </c>
      <c r="D5" s="1">
        <f>-(600+150)/15*14</f>
        <v>-700</v>
      </c>
      <c r="E5" s="1">
        <f t="shared" si="1"/>
        <v>-729.5</v>
      </c>
      <c r="J5">
        <f>-20/226</f>
        <v>-8.8495575221238937E-2</v>
      </c>
      <c r="K5">
        <f>-30/226</f>
        <v>-0.13274336283185842</v>
      </c>
    </row>
    <row r="6" spans="1:12" x14ac:dyDescent="0.25">
      <c r="A6" s="7" t="s">
        <v>11</v>
      </c>
      <c r="B6" t="s">
        <v>35</v>
      </c>
      <c r="C6" s="1">
        <v>-59</v>
      </c>
      <c r="D6" s="1">
        <v>-100</v>
      </c>
      <c r="E6" s="1">
        <f>C6+D6</f>
        <v>-159</v>
      </c>
      <c r="J6">
        <f>-100/226</f>
        <v>-0.44247787610619471</v>
      </c>
      <c r="K6">
        <f>-50/226</f>
        <v>-0.22123893805309736</v>
      </c>
    </row>
    <row r="7" spans="1:12" x14ac:dyDescent="0.25">
      <c r="A7" s="7" t="s">
        <v>11</v>
      </c>
      <c r="B7" t="s">
        <v>36</v>
      </c>
      <c r="C7" s="1">
        <v>-67.259999999999991</v>
      </c>
      <c r="D7" s="1">
        <v>-223</v>
      </c>
      <c r="E7" s="1">
        <f>C7+D7</f>
        <v>-290.26</v>
      </c>
      <c r="H7">
        <f>-84/226</f>
        <v>-0.37168141592920356</v>
      </c>
      <c r="I7">
        <f>-168*2/226</f>
        <v>-1.4867256637168142</v>
      </c>
      <c r="J7">
        <f>-84/226</f>
        <v>-0.37168141592920356</v>
      </c>
      <c r="K7">
        <f>-42/226</f>
        <v>-0.18584070796460178</v>
      </c>
      <c r="L7">
        <f>-126/226</f>
        <v>-0.55752212389380529</v>
      </c>
    </row>
    <row r="8" spans="1:12" x14ac:dyDescent="0.25">
      <c r="C8" s="1"/>
      <c r="D8" s="1"/>
      <c r="E8" s="1"/>
    </row>
    <row r="9" spans="1:12" x14ac:dyDescent="0.25">
      <c r="A9" s="7" t="s">
        <v>11</v>
      </c>
      <c r="B9" t="str">
        <f>[1]Overview!B9</f>
        <v>Chopper System</v>
      </c>
      <c r="C9" s="1">
        <v>-59</v>
      </c>
      <c r="D9" s="1">
        <v>-100</v>
      </c>
      <c r="E9" s="1">
        <f t="shared" si="1"/>
        <v>-159</v>
      </c>
      <c r="H9" s="1"/>
      <c r="I9" s="1">
        <v>-0.03</v>
      </c>
      <c r="J9" s="1">
        <f>-[1]Overview!L9/226</f>
        <v>-6.637168141592921E-2</v>
      </c>
      <c r="K9" s="1">
        <f>-[1]Overview!M9/226</f>
        <v>-0.15486725663716813</v>
      </c>
      <c r="L9" s="1">
        <f>-[1]Overview!N9/226</f>
        <v>-0.11061946902654868</v>
      </c>
    </row>
    <row r="10" spans="1:12" x14ac:dyDescent="0.25">
      <c r="A10" s="7" t="s">
        <v>10</v>
      </c>
      <c r="B10" t="str">
        <f>[12]Overview!B10</f>
        <v>Chopper Loss Frame Overlap Mirror</v>
      </c>
      <c r="C10" s="1">
        <f>[12]Overview!C10</f>
        <v>46.947020000000002</v>
      </c>
      <c r="D10" s="1">
        <f>[12]Overview!D10</f>
        <v>40</v>
      </c>
      <c r="E10" s="1">
        <f t="shared" si="1"/>
        <v>86.947020000000009</v>
      </c>
      <c r="I10">
        <f>[12]Overview!$J$10/226</f>
        <v>4.4247787610619468E-2</v>
      </c>
      <c r="J10">
        <f>[12]Overview!$J$10/226</f>
        <v>4.4247787610619468E-2</v>
      </c>
      <c r="K10">
        <f>[12]Overview!$J$10/226</f>
        <v>4.4247787610619468E-2</v>
      </c>
      <c r="L10">
        <f>[12]Overview!$J$10/226</f>
        <v>4.4247787610619468E-2</v>
      </c>
    </row>
    <row r="11" spans="1:12" x14ac:dyDescent="0.25">
      <c r="C11" s="1"/>
      <c r="D11" s="1"/>
      <c r="E11" s="1"/>
    </row>
    <row r="12" spans="1:12" x14ac:dyDescent="0.25">
      <c r="A12" s="7" t="s">
        <v>11</v>
      </c>
      <c r="B12" t="s">
        <v>15</v>
      </c>
      <c r="C12" s="1">
        <v>0</v>
      </c>
      <c r="D12" s="1">
        <v>-60</v>
      </c>
      <c r="E12" s="1">
        <f t="shared" si="1"/>
        <v>-60</v>
      </c>
      <c r="K12">
        <f>-5/226</f>
        <v>-2.2123893805309734E-2</v>
      </c>
    </row>
    <row r="13" spans="1:12" x14ac:dyDescent="0.25">
      <c r="C13" s="1"/>
      <c r="D13" s="1"/>
      <c r="E13" s="1"/>
    </row>
    <row r="14" spans="1:12" x14ac:dyDescent="0.25">
      <c r="A14" s="7" t="s">
        <v>11</v>
      </c>
      <c r="B14" t="s">
        <v>19</v>
      </c>
      <c r="C14" s="1">
        <v>0</v>
      </c>
      <c r="D14" s="1">
        <v>-55</v>
      </c>
      <c r="E14" s="1">
        <f t="shared" si="1"/>
        <v>-55</v>
      </c>
      <c r="J14">
        <f>-5/226</f>
        <v>-2.2123893805309734E-2</v>
      </c>
      <c r="K14">
        <f>-5/226</f>
        <v>-2.2123893805309734E-2</v>
      </c>
    </row>
    <row r="15" spans="1:12" x14ac:dyDescent="0.25">
      <c r="A15" s="7" t="s">
        <v>11</v>
      </c>
      <c r="B15" t="s">
        <v>16</v>
      </c>
      <c r="C15" s="1">
        <v>-2.36</v>
      </c>
      <c r="D15" s="1">
        <v>-268</v>
      </c>
      <c r="E15" s="1">
        <f t="shared" si="1"/>
        <v>-270.36</v>
      </c>
      <c r="I15">
        <f>-45/226/3</f>
        <v>-6.637168141592921E-2</v>
      </c>
      <c r="J15">
        <f>-26/226/3</f>
        <v>-3.8348082595870206E-2</v>
      </c>
      <c r="K15">
        <f>-11/226/3</f>
        <v>-1.6224188790560472E-2</v>
      </c>
      <c r="L15">
        <f>-25/226/3</f>
        <v>-3.687315634218289E-2</v>
      </c>
    </row>
    <row r="16" spans="1:12" x14ac:dyDescent="0.25">
      <c r="A16" s="7" t="s">
        <v>11</v>
      </c>
      <c r="B16" t="s">
        <v>17</v>
      </c>
      <c r="C16" s="1">
        <v>-5.8999999999999995</v>
      </c>
      <c r="D16" s="1">
        <v>-25</v>
      </c>
      <c r="E16" s="1">
        <v>-30</v>
      </c>
      <c r="I16">
        <f t="shared" ref="I16:I17" si="2">-45/226/3</f>
        <v>-6.637168141592921E-2</v>
      </c>
      <c r="J16">
        <f t="shared" ref="J16:J17" si="3">-26/226/3</f>
        <v>-3.8348082595870206E-2</v>
      </c>
      <c r="K16">
        <f t="shared" ref="K16:K17" si="4">-11/226/3</f>
        <v>-1.6224188790560472E-2</v>
      </c>
      <c r="L16">
        <f t="shared" ref="L16:L17" si="5">-25/226/3</f>
        <v>-3.687315634218289E-2</v>
      </c>
    </row>
    <row r="17" spans="1:13" x14ac:dyDescent="0.25">
      <c r="A17" s="7" t="s">
        <v>11</v>
      </c>
      <c r="B17" t="s">
        <v>18</v>
      </c>
      <c r="C17" s="1">
        <v>-2.36</v>
      </c>
      <c r="D17" s="1">
        <v>-15</v>
      </c>
      <c r="E17" s="1">
        <f t="shared" si="1"/>
        <v>-17.36</v>
      </c>
      <c r="I17">
        <f t="shared" si="2"/>
        <v>-6.637168141592921E-2</v>
      </c>
      <c r="J17">
        <f t="shared" si="3"/>
        <v>-3.8348082595870206E-2</v>
      </c>
      <c r="K17">
        <f t="shared" si="4"/>
        <v>-1.6224188790560472E-2</v>
      </c>
      <c r="L17">
        <f t="shared" si="5"/>
        <v>-3.687315634218289E-2</v>
      </c>
    </row>
    <row r="18" spans="1:13" x14ac:dyDescent="0.25">
      <c r="A18" s="7" t="s">
        <v>11</v>
      </c>
      <c r="B18" t="s">
        <v>34</v>
      </c>
      <c r="C18" s="1">
        <f>-'Budget Total Overview'!C14</f>
        <v>-150.5</v>
      </c>
      <c r="D18" s="1">
        <f>-'Budget Total Overview'!D14</f>
        <v>-209.5</v>
      </c>
      <c r="E18" s="1">
        <f t="shared" si="1"/>
        <v>-360</v>
      </c>
    </row>
    <row r="19" spans="1:13" x14ac:dyDescent="0.25">
      <c r="A19" s="7" t="s">
        <v>11</v>
      </c>
      <c r="B19" t="str">
        <f>[1]Overview!B$15</f>
        <v>Neutron Polarization System</v>
      </c>
      <c r="C19" s="1">
        <v>-82.6</v>
      </c>
      <c r="D19" s="1">
        <v>-180</v>
      </c>
      <c r="E19" s="1">
        <f t="shared" ref="E19:E22" si="6">C19+D19</f>
        <v>-262.60000000000002</v>
      </c>
      <c r="H19">
        <f>-40/226</f>
        <v>-0.17699115044247787</v>
      </c>
      <c r="I19">
        <f>-84*3/226</f>
        <v>-1.1150442477876106</v>
      </c>
      <c r="J19">
        <f>-168/226</f>
        <v>-0.74336283185840712</v>
      </c>
      <c r="K19">
        <f>-15/226</f>
        <v>-6.637168141592921E-2</v>
      </c>
      <c r="L19">
        <f>-84*2/226</f>
        <v>-0.74336283185840712</v>
      </c>
    </row>
    <row r="20" spans="1:13" x14ac:dyDescent="0.25">
      <c r="A20" s="7" t="s">
        <v>11</v>
      </c>
      <c r="B20" t="str">
        <f>[12]Overview!B$4</f>
        <v>Polarization Analyzer System</v>
      </c>
      <c r="C20" s="1">
        <f>-[12]Overview!C$4</f>
        <v>-74.79486</v>
      </c>
      <c r="D20" s="1">
        <f>-[12]Overview!D$4</f>
        <v>-292</v>
      </c>
      <c r="E20" s="1">
        <f t="shared" si="6"/>
        <v>-366.79485999999997</v>
      </c>
      <c r="H20">
        <f>-[12]Overview!J$4/226</f>
        <v>-4.4247787610619468E-2</v>
      </c>
      <c r="I20">
        <f>-[12]Overview!K$4/226</f>
        <v>-0.13274336283185842</v>
      </c>
      <c r="J20">
        <f>-[12]Overview!L$4/226</f>
        <v>-0.13274336283185842</v>
      </c>
      <c r="K20">
        <f>-[12]Overview!M$4/226</f>
        <v>-6.637168141592921E-2</v>
      </c>
      <c r="L20">
        <f>-[12]Overview!N$4/226</f>
        <v>-8.8495575221238937E-2</v>
      </c>
    </row>
    <row r="21" spans="1:13" x14ac:dyDescent="0.25">
      <c r="A21" s="7" t="s">
        <v>11</v>
      </c>
      <c r="B21" t="s">
        <v>37</v>
      </c>
      <c r="C21" s="1">
        <f>-'Budget Total Overview'!C15</f>
        <v>0</v>
      </c>
      <c r="D21" s="1">
        <f>-'Budget Total Overview'!D15</f>
        <v>-600</v>
      </c>
      <c r="E21" s="1">
        <f t="shared" si="6"/>
        <v>-600</v>
      </c>
      <c r="H21" s="1"/>
      <c r="I21" s="1"/>
      <c r="J21" s="1"/>
      <c r="K21" s="1"/>
      <c r="L21" s="1"/>
    </row>
    <row r="22" spans="1:13" x14ac:dyDescent="0.25">
      <c r="A22" s="7" t="s">
        <v>11</v>
      </c>
      <c r="B22" t="s">
        <v>31</v>
      </c>
      <c r="C22" s="1">
        <v>0</v>
      </c>
      <c r="D22" s="1">
        <v>-250</v>
      </c>
      <c r="E22" s="1">
        <f t="shared" si="6"/>
        <v>-250</v>
      </c>
      <c r="K22">
        <f>-15/226</f>
        <v>-6.637168141592921E-2</v>
      </c>
    </row>
    <row r="23" spans="1:13" x14ac:dyDescent="0.25">
      <c r="A23"/>
      <c r="C23" s="1"/>
      <c r="D23" s="1"/>
      <c r="E23" s="1"/>
    </row>
    <row r="24" spans="1:13" x14ac:dyDescent="0.25">
      <c r="A24"/>
      <c r="C24" s="1"/>
      <c r="D24" s="1"/>
      <c r="E24" s="1"/>
    </row>
    <row r="25" spans="1:13" x14ac:dyDescent="0.25">
      <c r="A25"/>
      <c r="C25" s="1"/>
      <c r="D25" s="1"/>
      <c r="E25" s="1"/>
    </row>
    <row r="26" spans="1:13" x14ac:dyDescent="0.25">
      <c r="A26" t="str">
        <f>'Budget Total Overview'!A1</f>
        <v>PBS</v>
      </c>
      <c r="B26" t="str">
        <f>'Budget Total Overview'!B1</f>
        <v>Item</v>
      </c>
      <c r="C26" t="str">
        <f>'Budget Total Overview'!C1</f>
        <v>Total Labor [k€]</v>
      </c>
      <c r="D26" t="str">
        <f>'Budget Total Overview'!D1</f>
        <v>Total non-Labor [k€]</v>
      </c>
      <c r="E26" t="str">
        <f>'Budget Total Overview'!E1</f>
        <v>Both [k€]</v>
      </c>
      <c r="F26" t="str">
        <f>'Budget Total Overview'!F1</f>
        <v>Both + 10% Contingency [k€]</v>
      </c>
      <c r="H26" t="str">
        <f>'Budget Total Overview'!H1</f>
        <v>Work 02 [y]</v>
      </c>
      <c r="I26" t="str">
        <f>'Budget Total Overview'!I1</f>
        <v>Work 03 [y]</v>
      </c>
      <c r="J26" t="str">
        <f>'Budget Total Overview'!J1</f>
        <v>Work 04 [y]</v>
      </c>
      <c r="K26" t="str">
        <f>'Budget Total Overview'!K1</f>
        <v>Work 05 [y]</v>
      </c>
      <c r="L26" t="str">
        <f>'Budget Total Overview'!L1</f>
        <v>Work 06 [y]</v>
      </c>
      <c r="M26" t="str">
        <f>'Budget Total Overview'!M1</f>
        <v>Total [y]</v>
      </c>
    </row>
    <row r="27" spans="1:13" x14ac:dyDescent="0.25">
      <c r="A27" t="str">
        <f>'Budget Total Overview'!A2</f>
        <v>13.6.9.1</v>
      </c>
      <c r="B27" t="str">
        <f>'Budget Total Overview'!B2</f>
        <v>Beam Transport and Conditioning System</v>
      </c>
      <c r="C27" s="1">
        <f>'Budget Total Overview'!C2+C4+C5+C6+C7+C9+C10+C12+C19</f>
        <v>1822.3666188990826</v>
      </c>
      <c r="D27" s="1">
        <f>'Budget Total Overview'!D2+D4+D5+D6+D7+D9+D10+D12+D19</f>
        <v>3351.4988256880742</v>
      </c>
      <c r="E27" s="1">
        <f>'Budget Total Overview'!E2+E4+E5+E6+E7+E9+E10+E12+E19</f>
        <v>5173.8654445871562</v>
      </c>
      <c r="F27">
        <f>E27/0.9</f>
        <v>5748.7393828746181</v>
      </c>
      <c r="H27" s="1">
        <f>'Budget Total Overview'!H2+H4+H5+H6+H7+H9+H10+H12+H19</f>
        <v>0.42477876106194684</v>
      </c>
      <c r="I27" s="1">
        <f>'Budget Total Overview'!I2+I4+I5+I6+I7+I9+I10+I12+I19</f>
        <v>1.7740455120101144</v>
      </c>
      <c r="J27" s="1">
        <f>'Budget Total Overview'!J2+J4+J5+J6+J7+J9+J10+J12+J19</f>
        <v>1.2764433206911086</v>
      </c>
      <c r="K27" s="1">
        <f>'Budget Total Overview'!K2+K4+K5+K6+K7+K9+K10+K12+K19</f>
        <v>2.0175937631689842</v>
      </c>
      <c r="L27" s="1">
        <f>'Budget Total Overview'!L2+L4+L5+L6+L7+L9+L10+L12+L19</f>
        <v>0.64496418036241066</v>
      </c>
      <c r="M27" s="1">
        <f>SUM(H27:L27)</f>
        <v>6.1378255372945656</v>
      </c>
    </row>
    <row r="28" spans="1:13" x14ac:dyDescent="0.25">
      <c r="A28" t="str">
        <f>'Budget Total Overview'!A3</f>
        <v>13.6.9.2</v>
      </c>
      <c r="B28" t="str">
        <f>'Budget Total Overview'!B3</f>
        <v>Sample Exposure System</v>
      </c>
      <c r="C28" s="1">
        <f>'Budget Total Overview'!C3+C14+C15+C16+C17</f>
        <v>173.79919999999998</v>
      </c>
      <c r="D28" s="1">
        <f>'Budget Total Overview'!D3+D14+D15+D16+D17</f>
        <v>88.43</v>
      </c>
      <c r="E28" s="1">
        <f>'Budget Total Overview'!E3+E14+E15+E16+E17</f>
        <v>263.12919999999997</v>
      </c>
      <c r="F28">
        <f t="shared" ref="F28:F41" si="7">E28/0.9</f>
        <v>292.36577777777774</v>
      </c>
      <c r="H28" s="1">
        <f>'Budget Total Overview'!H3+H14+H15+H16+H17</f>
        <v>8.8495575221238937E-2</v>
      </c>
      <c r="I28" s="1">
        <f>'Budget Total Overview'!I3+I14+I15+I16+I17</f>
        <v>0.17699115044247787</v>
      </c>
      <c r="J28" s="1">
        <f>'Budget Total Overview'!J3+J14+J15+J16+J17</f>
        <v>5.6679308891698282E-2</v>
      </c>
      <c r="K28" s="1">
        <f>'Budget Total Overview'!K3+K14+K15+K16+K17</f>
        <v>0.15465655288664135</v>
      </c>
      <c r="L28" s="1">
        <f>'Budget Total Overview'!L3+L14+L15+L16+L17</f>
        <v>0.14117151285292881</v>
      </c>
      <c r="M28" s="1">
        <f t="shared" ref="M28:M37" si="8">SUM(H28:L28)</f>
        <v>0.61799410029498525</v>
      </c>
    </row>
    <row r="29" spans="1:13" x14ac:dyDescent="0.25">
      <c r="A29" t="str">
        <f>'Budget Total Overview'!A4</f>
        <v>13.6.9.3</v>
      </c>
      <c r="B29" t="str">
        <f>'Budget Total Overview'!B4</f>
        <v>Scattering Characterization System</v>
      </c>
      <c r="C29" s="1">
        <f>'Budget Total Overview'!C4+C22+C20</f>
        <v>139.02349844036695</v>
      </c>
      <c r="D29" s="1">
        <f>'Budget Total Overview'!D4+D22+D20</f>
        <v>365</v>
      </c>
      <c r="E29" s="1">
        <f>'Budget Total Overview'!E4+E22+E20</f>
        <v>504.02349844036689</v>
      </c>
      <c r="F29">
        <f>E29/0.9</f>
        <v>560.02610937818542</v>
      </c>
      <c r="H29" s="1">
        <f>'Budget Total Overview'!H4+H22+H20</f>
        <v>0.15486725663716816</v>
      </c>
      <c r="I29" s="1">
        <f>'Budget Total Overview'!I4+I22+I20</f>
        <v>0.28603034134007588</v>
      </c>
      <c r="J29" s="1">
        <f>'Budget Total Overview'!J4+J22+J20</f>
        <v>0.26970080067425195</v>
      </c>
      <c r="K29" s="1">
        <f>'Budget Total Overview'!K4+K22+K20</f>
        <v>0.1632954066582385</v>
      </c>
      <c r="L29" s="1">
        <f>'Budget Total Overview'!L4+L22+L20</f>
        <v>0.13590391908975979</v>
      </c>
      <c r="M29" s="1">
        <f>'Budget Total Overview'!M4+M22+M20</f>
        <v>1.540771175726928</v>
      </c>
    </row>
    <row r="30" spans="1:13" x14ac:dyDescent="0.25">
      <c r="A30" t="str">
        <f>'Budget Total Overview'!A5</f>
        <v>13.6.9.4</v>
      </c>
      <c r="B30" t="str">
        <f>'Budget Total Overview'!B5</f>
        <v>Optical Cave</v>
      </c>
      <c r="C30">
        <f>'Budget Total Overview'!C5</f>
        <v>0</v>
      </c>
      <c r="D30">
        <f>'Budget Total Overview'!D5</f>
        <v>0</v>
      </c>
      <c r="E30">
        <f>'Budget Total Overview'!E5</f>
        <v>0</v>
      </c>
      <c r="F30">
        <f t="shared" si="7"/>
        <v>0</v>
      </c>
      <c r="H30" s="1">
        <f>'Budget Total Overview'!H5</f>
        <v>0</v>
      </c>
      <c r="I30" s="1">
        <f>'Budget Total Overview'!I5</f>
        <v>0</v>
      </c>
      <c r="J30" s="1">
        <f>'Budget Total Overview'!J5</f>
        <v>0</v>
      </c>
      <c r="K30" s="1">
        <f>'Budget Total Overview'!K5</f>
        <v>0</v>
      </c>
      <c r="L30" s="1">
        <f>'Budget Total Overview'!L5</f>
        <v>0</v>
      </c>
      <c r="M30" s="1">
        <f t="shared" si="8"/>
        <v>0</v>
      </c>
    </row>
    <row r="31" spans="1:13" x14ac:dyDescent="0.25">
      <c r="A31" t="str">
        <f>'Budget Total Overview'!A6</f>
        <v>13.6.9.5</v>
      </c>
      <c r="B31" t="str">
        <f>'Budget Total Overview'!B6</f>
        <v>Experimental Cave</v>
      </c>
      <c r="C31">
        <f>'Budget Total Overview'!C6</f>
        <v>309.88862000000006</v>
      </c>
      <c r="D31">
        <f>'Budget Total Overview'!D6</f>
        <v>657</v>
      </c>
      <c r="E31">
        <f>'Budget Total Overview'!E6</f>
        <v>966.88862000000006</v>
      </c>
      <c r="F31">
        <f t="shared" si="7"/>
        <v>1074.320688888889</v>
      </c>
      <c r="H31" s="1">
        <f>'Budget Total Overview'!H6</f>
        <v>0.18752633796881585</v>
      </c>
      <c r="I31" s="1">
        <f>'Budget Total Overview'!I6</f>
        <v>0.67214496418036251</v>
      </c>
      <c r="J31" s="1">
        <f>'Budget Total Overview'!J6</f>
        <v>0.15486725663716813</v>
      </c>
      <c r="K31" s="1">
        <f>'Budget Total Overview'!K6</f>
        <v>0.96186262115465671</v>
      </c>
      <c r="L31" s="1">
        <f>'Budget Total Overview'!L6</f>
        <v>4.4247787610619468E-2</v>
      </c>
      <c r="M31" s="1">
        <f t="shared" si="8"/>
        <v>2.0206489675516224</v>
      </c>
    </row>
    <row r="32" spans="1:13" x14ac:dyDescent="0.25">
      <c r="A32" t="str">
        <f>'Budget Total Overview'!A7</f>
        <v>13.6.9.6</v>
      </c>
      <c r="B32" t="str">
        <f>'Budget Total Overview'!B7</f>
        <v>Control Hutch</v>
      </c>
      <c r="C32">
        <f>'Budget Total Overview'!C7</f>
        <v>45.340939999999989</v>
      </c>
      <c r="D32">
        <f>'Budget Total Overview'!D7</f>
        <v>71</v>
      </c>
      <c r="E32">
        <f>'Budget Total Overview'!E7</f>
        <v>116.34093999999999</v>
      </c>
      <c r="F32">
        <f t="shared" si="7"/>
        <v>129.26771111111108</v>
      </c>
      <c r="H32" s="1">
        <f>'Budget Total Overview'!H7</f>
        <v>7.3746312684365781E-2</v>
      </c>
      <c r="I32" s="1">
        <f>'Budget Total Overview'!I7</f>
        <v>4.4247787610619468E-2</v>
      </c>
      <c r="J32" s="1">
        <f>'Budget Total Overview'!J7</f>
        <v>6.637168141592921E-2</v>
      </c>
      <c r="K32" s="1">
        <f>'Budget Total Overview'!K7</f>
        <v>0.18015170670037922</v>
      </c>
      <c r="L32" s="1">
        <f>'Budget Total Overview'!L7</f>
        <v>8.4281500210703752E-3</v>
      </c>
      <c r="M32" s="1">
        <f t="shared" si="8"/>
        <v>0.37294563843236406</v>
      </c>
    </row>
    <row r="33" spans="1:13" x14ac:dyDescent="0.25">
      <c r="A33" t="str">
        <f>'Budget Total Overview'!A8</f>
        <v>13.6.9.7</v>
      </c>
      <c r="B33" t="str">
        <f>'Budget Total Overview'!B8</f>
        <v>Sampe Preparation Area</v>
      </c>
      <c r="C33">
        <f>'Budget Total Overview'!C8</f>
        <v>21.558499999999999</v>
      </c>
      <c r="D33">
        <f>'Budget Total Overview'!D8</f>
        <v>11.16</v>
      </c>
      <c r="E33">
        <f>'Budget Total Overview'!E8</f>
        <v>32.718499999999999</v>
      </c>
      <c r="F33">
        <f t="shared" si="7"/>
        <v>36.353888888888889</v>
      </c>
      <c r="H33" s="1">
        <f>'Budget Total Overview'!H8</f>
        <v>3.7926675094816689E-2</v>
      </c>
      <c r="I33" s="1">
        <f>'Budget Total Overview'!I8</f>
        <v>3.0552043826380111E-2</v>
      </c>
      <c r="J33" s="1">
        <f>'Budget Total Overview'!J8</f>
        <v>0</v>
      </c>
      <c r="K33" s="1">
        <f>'Budget Total Overview'!K8</f>
        <v>0.10535187526337969</v>
      </c>
      <c r="L33" s="1">
        <f>'Budget Total Overview'!L8</f>
        <v>0</v>
      </c>
      <c r="M33" s="1">
        <f t="shared" si="8"/>
        <v>0.1738305941845765</v>
      </c>
    </row>
    <row r="34" spans="1:13" x14ac:dyDescent="0.25">
      <c r="A34" t="str">
        <f>'Budget Total Overview'!A9</f>
        <v>13.6.9.8</v>
      </c>
      <c r="B34" t="str">
        <f>'Budget Total Overview'!B9</f>
        <v>Utilities Distribution</v>
      </c>
      <c r="C34">
        <f>'Budget Total Overview'!C9</f>
        <v>8.6414200000000001</v>
      </c>
      <c r="D34">
        <f>'Budget Total Overview'!D9</f>
        <v>28</v>
      </c>
      <c r="E34">
        <f>'Budget Total Overview'!E9</f>
        <v>36.641419999999997</v>
      </c>
      <c r="F34">
        <f t="shared" si="7"/>
        <v>40.712688888888884</v>
      </c>
      <c r="H34" s="1">
        <f>'Budget Total Overview'!H9</f>
        <v>1.685630004214075E-2</v>
      </c>
      <c r="I34" s="1">
        <f>'Budget Total Overview'!I9</f>
        <v>3.2659081331647702E-2</v>
      </c>
      <c r="J34" s="1">
        <f>'Budget Total Overview'!J9</f>
        <v>0</v>
      </c>
      <c r="K34" s="1">
        <f>'Budget Total Overview'!K9</f>
        <v>0</v>
      </c>
      <c r="L34" s="1">
        <f>'Budget Total Overview'!L9</f>
        <v>0</v>
      </c>
      <c r="M34" s="1">
        <f t="shared" si="8"/>
        <v>4.9515381373788456E-2</v>
      </c>
    </row>
    <row r="35" spans="1:13" x14ac:dyDescent="0.25">
      <c r="A35" t="str">
        <f>'Budget Total Overview'!A10</f>
        <v>13.6.9.9.1</v>
      </c>
      <c r="B35" t="str">
        <f>'Budget Total Overview'!B10</f>
        <v>Support Infrastructure - Hall 1</v>
      </c>
      <c r="C35">
        <f>'Budget Total Overview'!C10</f>
        <v>88.535160000000005</v>
      </c>
      <c r="D35">
        <f>'Budget Total Overview'!D10</f>
        <v>145</v>
      </c>
      <c r="E35">
        <f>'Budget Total Overview'!E10</f>
        <v>233.53516000000002</v>
      </c>
      <c r="F35">
        <f t="shared" si="7"/>
        <v>259.48351111111111</v>
      </c>
      <c r="H35" s="1">
        <f>'Budget Total Overview'!H10</f>
        <v>2.6337968815844923E-2</v>
      </c>
      <c r="I35" s="1">
        <f>'Budget Total Overview'!I10</f>
        <v>0.19490096923725245</v>
      </c>
      <c r="J35" s="1">
        <f>'Budget Total Overview'!J10</f>
        <v>0</v>
      </c>
      <c r="K35" s="1">
        <f>'Budget Total Overview'!K10</f>
        <v>0.28761061946902655</v>
      </c>
      <c r="L35" s="1">
        <f>'Budget Total Overview'!L10</f>
        <v>0.13274336283185842</v>
      </c>
      <c r="M35" s="1">
        <f t="shared" si="8"/>
        <v>0.6415929203539823</v>
      </c>
    </row>
    <row r="36" spans="1:13" x14ac:dyDescent="0.25">
      <c r="A36" t="str">
        <f>'Budget Total Overview'!A11</f>
        <v>13.6.9.10.1</v>
      </c>
      <c r="B36" t="str">
        <f>'Budget Total Overview'!B11</f>
        <v>Control Racks - Hall 1</v>
      </c>
      <c r="C36">
        <f>'Budget Total Overview'!C11</f>
        <v>558.07841000000008</v>
      </c>
      <c r="D36">
        <f>'Budget Total Overview'!D11</f>
        <v>146.26499999999999</v>
      </c>
      <c r="E36">
        <f>'Budget Total Overview'!E11</f>
        <v>704.34341000000006</v>
      </c>
      <c r="F36">
        <f t="shared" si="7"/>
        <v>782.60378888888897</v>
      </c>
      <c r="H36" s="1">
        <f>'Budget Total Overview'!H11</f>
        <v>0.22123893805309736</v>
      </c>
      <c r="I36" s="1">
        <f>'Budget Total Overview'!I11</f>
        <v>1.1630847029077114</v>
      </c>
      <c r="J36" s="1">
        <f>'Budget Total Overview'!J11</f>
        <v>8.8495575221238937E-2</v>
      </c>
      <c r="K36" s="1">
        <f>'Budget Total Overview'!K11</f>
        <v>1.9437420986093552</v>
      </c>
      <c r="L36" s="1">
        <f>'Budget Total Overview'!L11</f>
        <v>0.60524652338811624</v>
      </c>
      <c r="M36" s="1">
        <f t="shared" si="8"/>
        <v>4.0218078381795186</v>
      </c>
    </row>
    <row r="37" spans="1:13" x14ac:dyDescent="0.25">
      <c r="A37" t="str">
        <f>'Budget Total Overview'!A12</f>
        <v>13.6.9.11</v>
      </c>
      <c r="B37" t="str">
        <f>'Budget Total Overview'!B12</f>
        <v>Integrated Control and Monitoring</v>
      </c>
      <c r="C37">
        <f>'Budget Total Overview'!C12</f>
        <v>0</v>
      </c>
      <c r="D37">
        <f>'Budget Total Overview'!D12</f>
        <v>0</v>
      </c>
      <c r="E37">
        <f>'Budget Total Overview'!E12</f>
        <v>0</v>
      </c>
      <c r="F37">
        <f t="shared" si="7"/>
        <v>0</v>
      </c>
      <c r="H37" s="1">
        <f>'Budget Total Overview'!H12</f>
        <v>0</v>
      </c>
      <c r="I37" s="1">
        <f>'Budget Total Overview'!I12</f>
        <v>0</v>
      </c>
      <c r="J37" s="1">
        <f>'Budget Total Overview'!J12</f>
        <v>0</v>
      </c>
      <c r="K37" s="1">
        <f>'Budget Total Overview'!K12</f>
        <v>0</v>
      </c>
      <c r="L37" s="1">
        <f>'Budget Total Overview'!L12</f>
        <v>0</v>
      </c>
      <c r="M37" s="1">
        <f t="shared" si="8"/>
        <v>0</v>
      </c>
    </row>
    <row r="38" spans="1:13" x14ac:dyDescent="0.25">
      <c r="A38"/>
      <c r="B38" t="str">
        <f>'Budget Total Overview'!B13</f>
        <v>Travel Costs</v>
      </c>
      <c r="C38">
        <f>'Budget Total Overview'!C13</f>
        <v>81</v>
      </c>
      <c r="D38">
        <f>'Budget Total Overview'!D13</f>
        <v>0</v>
      </c>
      <c r="E38">
        <f>'Budget Total Overview'!E13</f>
        <v>81</v>
      </c>
      <c r="F38">
        <f t="shared" si="7"/>
        <v>90</v>
      </c>
      <c r="H38" s="1"/>
      <c r="I38" s="1"/>
      <c r="J38" s="1"/>
      <c r="K38" s="1"/>
      <c r="L38" s="1"/>
      <c r="M38" s="1"/>
    </row>
    <row r="39" spans="1:13" x14ac:dyDescent="0.25">
      <c r="A39"/>
      <c r="B39" t="str">
        <f>'Budget Total Overview'!B16</f>
        <v>Phase 1</v>
      </c>
      <c r="C39">
        <f>'Budget Total Overview'!C16</f>
        <v>700</v>
      </c>
      <c r="D39">
        <f>'Budget Total Overview'!D16</f>
        <v>50</v>
      </c>
      <c r="E39">
        <f>'Budget Total Overview'!E16</f>
        <v>750</v>
      </c>
      <c r="F39">
        <f t="shared" si="7"/>
        <v>833.33333333333326</v>
      </c>
      <c r="H39" s="1">
        <f>'Budget Total Overview'!H16</f>
        <v>0</v>
      </c>
      <c r="I39" s="1">
        <f>'Budget Total Overview'!I16</f>
        <v>0</v>
      </c>
      <c r="J39" s="1">
        <f>'Budget Total Overview'!J16</f>
        <v>0</v>
      </c>
      <c r="K39" s="1">
        <f>'Budget Total Overview'!K16</f>
        <v>0</v>
      </c>
      <c r="L39" s="1">
        <f>'Budget Total Overview'!L16</f>
        <v>0</v>
      </c>
      <c r="M39" s="1">
        <f>'Budget Total Overview'!M16</f>
        <v>3.25</v>
      </c>
    </row>
    <row r="40" spans="1:13" x14ac:dyDescent="0.25">
      <c r="A40"/>
      <c r="H40" s="1"/>
      <c r="I40" s="1"/>
      <c r="J40" s="1"/>
      <c r="K40" s="1"/>
      <c r="L40" s="1"/>
      <c r="M40" s="1"/>
    </row>
    <row r="41" spans="1:13" x14ac:dyDescent="0.25">
      <c r="A41"/>
      <c r="C41">
        <f>SUM(C27:C39)</f>
        <v>3948.2323673394499</v>
      </c>
      <c r="D41">
        <f t="shared" ref="D41:M41" si="9">SUM(D27:D39)</f>
        <v>4913.3538256880738</v>
      </c>
      <c r="E41">
        <f t="shared" si="9"/>
        <v>8862.4861930275238</v>
      </c>
      <c r="F41">
        <f t="shared" si="7"/>
        <v>9847.2068811416921</v>
      </c>
      <c r="H41" s="1">
        <f t="shared" si="9"/>
        <v>1.2317741255794354</v>
      </c>
      <c r="I41" s="1">
        <f t="shared" si="9"/>
        <v>4.3746565528866412</v>
      </c>
      <c r="J41" s="1">
        <f t="shared" si="9"/>
        <v>1.9125579435313949</v>
      </c>
      <c r="K41" s="1">
        <f t="shared" si="9"/>
        <v>5.8142646439106613</v>
      </c>
      <c r="L41" s="1">
        <f t="shared" si="9"/>
        <v>1.7127054361567637</v>
      </c>
      <c r="M41" s="1">
        <f t="shared" si="9"/>
        <v>18.826932153392331</v>
      </c>
    </row>
    <row r="42" spans="1:13" x14ac:dyDescent="0.25">
      <c r="A42"/>
    </row>
    <row r="43" spans="1:13" x14ac:dyDescent="0.25">
      <c r="A4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Budget Labor Overview</vt:lpstr>
      <vt:lpstr>Budget Total Overview</vt:lpstr>
      <vt:lpstr>Changed Items for Option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2016-07-18T11:26:10Z</dcterms:modified>
</cp:coreProperties>
</file>