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435" windowWidth="27000" windowHeight="12705"/>
  </bookViews>
  <sheets>
    <sheet name="BUDGET" sheetId="2" r:id="rId1"/>
    <sheet name="Primary Guides" sheetId="5" r:id="rId2"/>
    <sheet name="Primary slit" sheetId="7" r:id="rId3"/>
    <sheet name="Detectors" sheetId="8" r:id="rId4"/>
    <sheet name="Analyzer" sheetId="10" r:id="rId5"/>
    <sheet name="Primary Choppers" sheetId="11" r:id="rId6"/>
    <sheet name="Sample environment" sheetId="13" r:id="rId7"/>
    <sheet name="Secondary" sheetId="14" r:id="rId8"/>
  </sheets>
  <calcPr calcId="144525"/>
</workbook>
</file>

<file path=xl/calcChain.xml><?xml version="1.0" encoding="utf-8"?>
<calcChain xmlns="http://schemas.openxmlformats.org/spreadsheetml/2006/main">
  <c r="F20" i="14" l="1"/>
  <c r="J10" i="11"/>
  <c r="F29" i="14"/>
  <c r="M25" i="14"/>
  <c r="G20" i="14" s="1"/>
  <c r="F55" i="13"/>
  <c r="F7" i="13" s="1"/>
  <c r="D7" i="13" s="1"/>
  <c r="E55" i="13"/>
  <c r="E56" i="13" s="1"/>
  <c r="H46" i="13"/>
  <c r="H45" i="13"/>
  <c r="H44" i="13"/>
  <c r="H43" i="13"/>
  <c r="H36" i="13"/>
  <c r="H35" i="13"/>
  <c r="H34" i="13"/>
  <c r="H32" i="13"/>
  <c r="E8" i="13"/>
  <c r="E7" i="13"/>
  <c r="F4" i="13"/>
  <c r="E4" i="13"/>
  <c r="D4" i="13"/>
  <c r="F3" i="13"/>
  <c r="D3" i="13" s="1"/>
  <c r="E3" i="13"/>
  <c r="D38" i="11"/>
  <c r="F38" i="11" s="1"/>
  <c r="J16" i="11" s="1"/>
  <c r="D37" i="11"/>
  <c r="F37" i="11" s="1"/>
  <c r="J15" i="11" s="1"/>
  <c r="D36" i="11"/>
  <c r="F36" i="11" s="1"/>
  <c r="F35" i="11"/>
  <c r="F34" i="11"/>
  <c r="F33" i="11"/>
  <c r="F32" i="11"/>
  <c r="J8" i="11" s="1"/>
  <c r="D31" i="11"/>
  <c r="F31" i="11" s="1"/>
  <c r="J7" i="11" s="1"/>
  <c r="D30" i="11"/>
  <c r="F30" i="11" s="1"/>
  <c r="J13" i="11" s="1"/>
  <c r="F29" i="11"/>
  <c r="D28" i="11"/>
  <c r="F28" i="11" s="1"/>
  <c r="J9" i="11" s="1"/>
  <c r="F27" i="11"/>
  <c r="F26" i="11"/>
  <c r="F25" i="11"/>
  <c r="F24" i="11"/>
  <c r="J6" i="11" s="1"/>
  <c r="D23" i="11"/>
  <c r="F23" i="11" s="1"/>
  <c r="D22" i="11"/>
  <c r="F22" i="11" s="1"/>
  <c r="D21" i="11"/>
  <c r="F21" i="11" s="1"/>
  <c r="J12" i="11"/>
  <c r="J11" i="11"/>
  <c r="F51" i="10"/>
  <c r="F52" i="10" s="1"/>
  <c r="E51" i="10"/>
  <c r="E52" i="10" s="1"/>
  <c r="F43" i="10"/>
  <c r="F44" i="10" s="1"/>
  <c r="E42" i="10"/>
  <c r="E43" i="10" s="1"/>
  <c r="B42" i="10"/>
  <c r="B43" i="10" s="1"/>
  <c r="E32" i="10"/>
  <c r="C30" i="10"/>
  <c r="A30" i="10"/>
  <c r="A32" i="10" s="1"/>
  <c r="A33" i="10" s="1"/>
  <c r="A34" i="10" s="1"/>
  <c r="B26" i="10"/>
  <c r="B31" i="10" s="1"/>
  <c r="D13" i="10"/>
  <c r="D12" i="10"/>
  <c r="B8" i="10"/>
  <c r="B5" i="10"/>
  <c r="C5" i="10" s="1"/>
  <c r="B4" i="10"/>
  <c r="C4" i="10" s="1"/>
  <c r="D68" i="8"/>
  <c r="B68" i="8"/>
  <c r="D67" i="8"/>
  <c r="D66" i="8"/>
  <c r="D64" i="8" s="1"/>
  <c r="D65" i="8"/>
  <c r="B65" i="8"/>
  <c r="D63" i="8"/>
  <c r="C63" i="8"/>
  <c r="D62" i="8"/>
  <c r="D61" i="8"/>
  <c r="D60" i="8"/>
  <c r="D59" i="8" s="1"/>
  <c r="D58" i="8"/>
  <c r="D57" i="8"/>
  <c r="D56" i="8"/>
  <c r="D55" i="8"/>
  <c r="D54" i="8"/>
  <c r="D51" i="8" s="1"/>
  <c r="D53" i="8"/>
  <c r="D52" i="8"/>
  <c r="D44" i="8"/>
  <c r="B44" i="8"/>
  <c r="D43" i="8"/>
  <c r="D42" i="8"/>
  <c r="B41" i="8"/>
  <c r="D41" i="8" s="1"/>
  <c r="D40" i="8" s="1"/>
  <c r="D39" i="8"/>
  <c r="D38" i="8"/>
  <c r="D37" i="8" s="1"/>
  <c r="E37" i="8"/>
  <c r="D36" i="8"/>
  <c r="D35" i="8"/>
  <c r="D34" i="8"/>
  <c r="D33" i="8"/>
  <c r="D32" i="8"/>
  <c r="D31" i="8"/>
  <c r="D30" i="8"/>
  <c r="D29" i="8"/>
  <c r="D28" i="8"/>
  <c r="D27" i="8"/>
  <c r="E27" i="8" s="1"/>
  <c r="D20" i="8"/>
  <c r="B20" i="8"/>
  <c r="D19" i="8"/>
  <c r="D18" i="8"/>
  <c r="B17" i="8"/>
  <c r="D17" i="8" s="1"/>
  <c r="D15" i="8"/>
  <c r="D14" i="8"/>
  <c r="D13" i="8" s="1"/>
  <c r="D12" i="8"/>
  <c r="D11" i="8"/>
  <c r="D10" i="8"/>
  <c r="D9" i="8"/>
  <c r="D8" i="8"/>
  <c r="D7" i="8" s="1"/>
  <c r="D6" i="8"/>
  <c r="D5" i="8"/>
  <c r="D4" i="8"/>
  <c r="D3" i="8"/>
  <c r="E21" i="5"/>
  <c r="E20" i="5"/>
  <c r="E22" i="5" s="1"/>
  <c r="I14" i="5"/>
  <c r="J14" i="5" s="1"/>
  <c r="J13" i="5"/>
  <c r="I13" i="5"/>
  <c r="I12" i="5"/>
  <c r="J12" i="5" s="1"/>
  <c r="I10" i="5"/>
  <c r="J10" i="5" s="1"/>
  <c r="I9" i="5"/>
  <c r="J9" i="5" s="1"/>
  <c r="J8" i="5"/>
  <c r="I8" i="5"/>
  <c r="I7" i="5"/>
  <c r="J7" i="5" s="1"/>
  <c r="I6" i="5"/>
  <c r="J6" i="5" s="1"/>
  <c r="I5" i="5"/>
  <c r="J5" i="5" s="1"/>
  <c r="J4" i="5"/>
  <c r="I4" i="5"/>
  <c r="I3" i="5"/>
  <c r="J3" i="5" s="1"/>
  <c r="I2" i="5"/>
  <c r="J2" i="5" s="1"/>
  <c r="H69" i="2"/>
  <c r="G67" i="2"/>
  <c r="C67" i="2"/>
  <c r="G66" i="2"/>
  <c r="D66" i="2"/>
  <c r="D67" i="2" s="1"/>
  <c r="C66" i="2"/>
  <c r="H65" i="2"/>
  <c r="J65" i="2" s="1"/>
  <c r="J64" i="2"/>
  <c r="I64" i="2"/>
  <c r="H64" i="2"/>
  <c r="E64" i="2"/>
  <c r="J63" i="2"/>
  <c r="I63" i="2"/>
  <c r="H63" i="2"/>
  <c r="J62" i="2"/>
  <c r="I62" i="2"/>
  <c r="H62" i="2"/>
  <c r="J61" i="2"/>
  <c r="I61" i="2"/>
  <c r="H61" i="2"/>
  <c r="J60" i="2"/>
  <c r="I60" i="2"/>
  <c r="H60" i="2"/>
  <c r="J59" i="2"/>
  <c r="I59" i="2"/>
  <c r="H59" i="2"/>
  <c r="J58" i="2"/>
  <c r="I58" i="2"/>
  <c r="H58" i="2"/>
  <c r="J57" i="2"/>
  <c r="I57" i="2"/>
  <c r="H57" i="2"/>
  <c r="J56" i="2"/>
  <c r="I56" i="2"/>
  <c r="H56" i="2"/>
  <c r="J55" i="2"/>
  <c r="I55" i="2"/>
  <c r="H55" i="2"/>
  <c r="J54" i="2"/>
  <c r="I54" i="2"/>
  <c r="H54" i="2"/>
  <c r="F54" i="2"/>
  <c r="H53" i="2"/>
  <c r="E53" i="2"/>
  <c r="J53" i="2" s="1"/>
  <c r="J52" i="2"/>
  <c r="I52" i="2"/>
  <c r="H52" i="2"/>
  <c r="E52" i="2"/>
  <c r="D52" i="2"/>
  <c r="J51" i="2"/>
  <c r="I51" i="2"/>
  <c r="H51" i="2"/>
  <c r="H46" i="2"/>
  <c r="G43" i="2"/>
  <c r="G44" i="2" s="1"/>
  <c r="D43" i="2"/>
  <c r="D44" i="2" s="1"/>
  <c r="C43" i="2"/>
  <c r="H42" i="2"/>
  <c r="J42" i="2" s="1"/>
  <c r="H41" i="2"/>
  <c r="E41" i="2"/>
  <c r="J41" i="2" s="1"/>
  <c r="J40" i="2"/>
  <c r="I40" i="2"/>
  <c r="H40" i="2"/>
  <c r="J39" i="2"/>
  <c r="I39" i="2"/>
  <c r="H39" i="2"/>
  <c r="J38" i="2"/>
  <c r="I38" i="2"/>
  <c r="H38" i="2"/>
  <c r="J37" i="2"/>
  <c r="I37" i="2"/>
  <c r="H37" i="2"/>
  <c r="J36" i="2"/>
  <c r="I36" i="2"/>
  <c r="H36" i="2"/>
  <c r="J35" i="2"/>
  <c r="I35" i="2"/>
  <c r="H35" i="2"/>
  <c r="J34" i="2"/>
  <c r="I34" i="2"/>
  <c r="H34" i="2"/>
  <c r="I33" i="2"/>
  <c r="H33" i="2"/>
  <c r="J33" i="2" s="1"/>
  <c r="J32" i="2"/>
  <c r="I32" i="2"/>
  <c r="H32" i="2"/>
  <c r="J31" i="2"/>
  <c r="I31" i="2"/>
  <c r="F31" i="2"/>
  <c r="H31" i="2" s="1"/>
  <c r="H30" i="2"/>
  <c r="E30" i="2"/>
  <c r="E43" i="2" s="1"/>
  <c r="J29" i="2"/>
  <c r="E29" i="2"/>
  <c r="I29" i="2" s="1"/>
  <c r="D29" i="2"/>
  <c r="H29" i="2" s="1"/>
  <c r="J28" i="2"/>
  <c r="I28" i="2"/>
  <c r="H28" i="2"/>
  <c r="H24" i="2"/>
  <c r="G21" i="2"/>
  <c r="G22" i="2" s="1"/>
  <c r="C21" i="2"/>
  <c r="J20" i="2"/>
  <c r="H20" i="2"/>
  <c r="H19" i="2"/>
  <c r="E19" i="2"/>
  <c r="J19" i="2" s="1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J12" i="2"/>
  <c r="I12" i="2"/>
  <c r="H12" i="2"/>
  <c r="H11" i="2"/>
  <c r="I11" i="2"/>
  <c r="J10" i="2"/>
  <c r="I10" i="2"/>
  <c r="H10" i="2"/>
  <c r="I9" i="2"/>
  <c r="F9" i="2"/>
  <c r="J9" i="2" s="1"/>
  <c r="J8" i="2"/>
  <c r="I8" i="2"/>
  <c r="H8" i="2"/>
  <c r="E8" i="2"/>
  <c r="E7" i="2"/>
  <c r="I7" i="2" s="1"/>
  <c r="D7" i="2"/>
  <c r="J6" i="2"/>
  <c r="I6" i="2"/>
  <c r="H6" i="2"/>
  <c r="F31" i="14" l="1"/>
  <c r="F42" i="11"/>
  <c r="B37" i="10"/>
  <c r="B50" i="10" s="1"/>
  <c r="B51" i="10" s="1"/>
  <c r="D31" i="10"/>
  <c r="E31" i="10" s="1"/>
  <c r="D34" i="10" s="1"/>
  <c r="C14" i="10"/>
  <c r="B44" i="10"/>
  <c r="J11" i="2"/>
  <c r="E45" i="10"/>
  <c r="E46" i="10"/>
  <c r="F41" i="11"/>
  <c r="J14" i="11"/>
  <c r="J16" i="5"/>
  <c r="E61" i="8"/>
  <c r="E44" i="10"/>
  <c r="D16" i="8"/>
  <c r="D22" i="8"/>
  <c r="D71" i="8"/>
  <c r="E51" i="8"/>
  <c r="D70" i="8"/>
  <c r="D8" i="13"/>
  <c r="E33" i="10"/>
  <c r="E55" i="8"/>
  <c r="E13" i="8"/>
  <c r="D23" i="8"/>
  <c r="J5" i="11"/>
  <c r="J17" i="11" s="1"/>
  <c r="F39" i="11"/>
  <c r="F32" i="14"/>
  <c r="J66" i="2"/>
  <c r="J67" i="2" s="1"/>
  <c r="D46" i="8"/>
  <c r="E31" i="8"/>
  <c r="J7" i="2"/>
  <c r="D21" i="2"/>
  <c r="H21" i="2" s="1"/>
  <c r="H7" i="2"/>
  <c r="D22" i="2"/>
  <c r="C22" i="2"/>
  <c r="B52" i="10"/>
  <c r="E54" i="10"/>
  <c r="I16" i="5"/>
  <c r="D47" i="8"/>
  <c r="E44" i="2"/>
  <c r="H9" i="2"/>
  <c r="F21" i="2"/>
  <c r="F22" i="2" s="1"/>
  <c r="I30" i="2"/>
  <c r="E3" i="8"/>
  <c r="I19" i="2"/>
  <c r="I22" i="2" s="1"/>
  <c r="J30" i="2"/>
  <c r="J43" i="2" s="1"/>
  <c r="J44" i="2" s="1"/>
  <c r="F43" i="2"/>
  <c r="H43" i="2" s="1"/>
  <c r="F44" i="2"/>
  <c r="I53" i="2"/>
  <c r="F56" i="13"/>
  <c r="F8" i="13" s="1"/>
  <c r="E21" i="2"/>
  <c r="E22" i="2" s="1"/>
  <c r="C44" i="2"/>
  <c r="I21" i="2"/>
  <c r="I41" i="2"/>
  <c r="E66" i="2"/>
  <c r="E67" i="2" s="1"/>
  <c r="F66" i="2"/>
  <c r="H66" i="2" s="1"/>
  <c r="H22" i="2" l="1"/>
  <c r="J21" i="2"/>
  <c r="J22" i="2" s="1"/>
  <c r="C44" i="10"/>
  <c r="B45" i="10"/>
  <c r="C45" i="10" s="1"/>
  <c r="I66" i="2"/>
  <c r="I67" i="2" s="1"/>
  <c r="H5" i="11"/>
  <c r="F67" i="2"/>
  <c r="H67" i="2" s="1"/>
  <c r="H44" i="2"/>
  <c r="B53" i="10"/>
  <c r="C53" i="10" s="1"/>
  <c r="C52" i="10"/>
  <c r="E7" i="8"/>
  <c r="I43" i="2"/>
  <c r="I44" i="2"/>
  <c r="C3" i="10" l="1"/>
  <c r="C7" i="10" s="1"/>
  <c r="B3" i="10"/>
  <c r="B7" i="10" s="1"/>
</calcChain>
</file>

<file path=xl/comments1.xml><?xml version="1.0" encoding="utf-8"?>
<comments xmlns="http://schemas.openxmlformats.org/spreadsheetml/2006/main">
  <authors>
    <author/>
  </authors>
  <commentList>
    <comment ref="A11" authorId="0">
      <text>
        <r>
          <rPr>
            <sz val="10"/>
            <color rgb="FF000000"/>
            <rFont val="Arial"/>
          </rPr>
          <t>Reference: 
Study of the analyzer crystals for use in the near-backscattering spectrometer DNA at J-PARC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26" authorId="0">
      <text>
        <r>
          <rPr>
            <sz val="10"/>
            <color rgb="FF000000"/>
            <rFont val="Arial"/>
          </rPr>
          <t>2 Master rack for choppers placed inside the bunker (1 condition monitoring each), the remainder Master rack is placed outside the bunker.</t>
        </r>
      </text>
    </comment>
    <comment ref="C32" authorId="0">
      <text>
        <r>
          <rPr>
            <sz val="10"/>
            <color rgb="FF000000"/>
            <rFont val="Arial"/>
          </rPr>
          <t xml:space="preserve">Only intermediate and fast choppers need cooling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22" authorId="0">
      <text>
        <r>
          <rPr>
            <sz val="10"/>
            <color rgb="FF000000"/>
            <rFont val="Arial"/>
          </rPr>
          <t>Jones:
700 / m2 plus 500 transport per tank</t>
        </r>
      </text>
    </comment>
    <comment ref="C44" authorId="0">
      <text>
        <r>
          <rPr>
            <sz val="10"/>
            <color rgb="FF000000"/>
            <rFont val="Arial"/>
          </rPr>
          <t>Jones:
700 / m2 plus 500 transport per tank</t>
        </r>
      </text>
    </comment>
    <comment ref="C45" authorId="0">
      <text>
        <r>
          <rPr>
            <sz val="10"/>
            <color rgb="FF000000"/>
            <rFont val="Arial"/>
          </rPr>
          <t>Jones:
700 / m2 plus 500 transport per tank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31" authorId="0">
      <text>
        <r>
          <rPr>
            <sz val="10"/>
            <color rgb="FF000000"/>
            <rFont val="Arial"/>
          </rPr>
          <t xml:space="preserve">Fuente: OSIRIS
</t>
        </r>
      </text>
    </comment>
    <comment ref="D32" authorId="0">
      <text>
        <r>
          <rPr>
            <sz val="10"/>
            <color rgb="FF000000"/>
            <rFont val="Arial"/>
          </rPr>
          <t xml:space="preserve">Sin cooling!
</t>
        </r>
      </text>
    </comment>
  </commentList>
</comments>
</file>

<file path=xl/sharedStrings.xml><?xml version="1.0" encoding="utf-8"?>
<sst xmlns="http://schemas.openxmlformats.org/spreadsheetml/2006/main" count="547" uniqueCount="385">
  <si>
    <t>Timestamp</t>
  </si>
  <si>
    <t>Untitled Question</t>
  </si>
  <si>
    <t>k€</t>
  </si>
  <si>
    <t>OPTION 3 (17.7 M€)</t>
  </si>
  <si>
    <t>Phase 1</t>
  </si>
  <si>
    <t>Design</t>
  </si>
  <si>
    <t>Procurement &amp; Fabrication</t>
  </si>
  <si>
    <t>Installation</t>
  </si>
  <si>
    <t>06 Cold Commissioning</t>
  </si>
  <si>
    <t>LABORAL BUDGET</t>
  </si>
  <si>
    <t>NON LABORAL BUDGET</t>
  </si>
  <si>
    <t>Total k€</t>
  </si>
  <si>
    <t>Primary Shielding</t>
  </si>
  <si>
    <t>Total</t>
  </si>
  <si>
    <t>No</t>
  </si>
  <si>
    <t>steel support structure</t>
  </si>
  <si>
    <t>Secondary shielding (cave + vacuum tank shielding)</t>
  </si>
  <si>
    <t>Choppers</t>
  </si>
  <si>
    <t>Neutron Optics without vacuum pumps</t>
  </si>
  <si>
    <t>Slit</t>
  </si>
  <si>
    <t>Sample Environment</t>
  </si>
  <si>
    <t>Detector and Beam Monitors</t>
  </si>
  <si>
    <t>Motion Control and Automation</t>
  </si>
  <si>
    <t>Specific equipment</t>
  </si>
  <si>
    <t>Analyser</t>
  </si>
  <si>
    <t>Radial collimator</t>
  </si>
  <si>
    <t>Berylium filter</t>
  </si>
  <si>
    <t>Beam Stop</t>
  </si>
  <si>
    <t>Vacuum tank</t>
  </si>
  <si>
    <t>Instrument Infrastructure</t>
  </si>
  <si>
    <t>Management &amp; Science</t>
  </si>
  <si>
    <t>Contingency</t>
  </si>
  <si>
    <t>-----o-----</t>
  </si>
  <si>
    <t>Labour included in above (Person-Years)</t>
  </si>
  <si>
    <t>36,15</t>
  </si>
  <si>
    <t>OPTION 2 (15.9 M€)</t>
  </si>
  <si>
    <t>OPTION 1 (12.9 M€)</t>
  </si>
  <si>
    <t>Guide Section ID</t>
  </si>
  <si>
    <t>Length [m]</t>
  </si>
  <si>
    <t>Dimensions [cm]</t>
  </si>
  <si>
    <t>m</t>
  </si>
  <si>
    <t>Substrate</t>
  </si>
  <si>
    <t>Curvature [m]</t>
  </si>
  <si>
    <t>€/m</t>
  </si>
  <si>
    <t>Total price €</t>
  </si>
  <si>
    <t>Total price k€</t>
  </si>
  <si>
    <t>Reference</t>
  </si>
  <si>
    <t>CHF to €</t>
  </si>
  <si>
    <t>Section 1</t>
  </si>
  <si>
    <t>from 6 x 7,5 to 4 x 12</t>
  </si>
  <si>
    <t>Superpolished copper</t>
  </si>
  <si>
    <t xml:space="preserve">Swiss Neutronics: 146929 CHF </t>
  </si>
  <si>
    <t>Section 2</t>
  </si>
  <si>
    <t>from 4 x 12 to 4,3 x 12</t>
  </si>
  <si>
    <t>aluminium</t>
  </si>
  <si>
    <t>Swiss Neutronics: 15185 CHF</t>
  </si>
  <si>
    <t>Section 3</t>
  </si>
  <si>
    <t>from 4,3 x 12 to 11 x 12</t>
  </si>
  <si>
    <t>Swiss Neutronics: 309161 CHF</t>
  </si>
  <si>
    <t>Section 4</t>
  </si>
  <si>
    <t>from 11 x 12 to 11 x 12</t>
  </si>
  <si>
    <t>1,5</t>
  </si>
  <si>
    <t xml:space="preserve">Swiss Neutronics: 142040 CHF </t>
  </si>
  <si>
    <t>Section 5</t>
  </si>
  <si>
    <t>borkron glass (N-BK7 or S-BSL7)</t>
  </si>
  <si>
    <t xml:space="preserve">Swiss Neutronics: 590617 CHF </t>
  </si>
  <si>
    <t>Section 6</t>
  </si>
  <si>
    <t xml:space="preserve">Swiss Neutronics: 15993 CHF </t>
  </si>
  <si>
    <t>Section 7</t>
  </si>
  <si>
    <t>Swiss Neutronics: 408888 CHF</t>
  </si>
  <si>
    <t>Section 8</t>
  </si>
  <si>
    <t xml:space="preserve">Swiss Neutronics: 1043011 CHF </t>
  </si>
  <si>
    <t>Section 9</t>
  </si>
  <si>
    <t>from 11 x 12 to 3.2 x 3.2</t>
  </si>
  <si>
    <t>Pre-sample slits</t>
  </si>
  <si>
    <t>Source: Mirrotron</t>
  </si>
  <si>
    <t>Swiss Neutronics: 233376 CHF</t>
  </si>
  <si>
    <t>With motors</t>
  </si>
  <si>
    <t>without motors (20-40% less)</t>
  </si>
  <si>
    <t>CONFIGURATION 3</t>
  </si>
  <si>
    <t>vacuum system</t>
  </si>
  <si>
    <t>motorized slit 4 motors, absolut rotary encoder, ball screw drive, vacuum feedthroughs, safety limit switchers, CF/ISO flange vacuum window</t>
  </si>
  <si>
    <t>·  operation under vaccuum of 10-3 mbar</t>
  </si>
  <si>
    <t>·  absorbing material 10B4C in resin on Cd plate</t>
  </si>
  <si>
    <t>·  control cabinet control software for Windows system</t>
  </si>
  <si>
    <t>·  interface for ESS requirement (strongly depending on specification!)</t>
  </si>
  <si>
    <t>·  the slit size and the beam center axis position can be adjusted over the whole cross-section of 50 x 50 mm</t>
  </si>
  <si>
    <t>SD-H email: The price for a 2 m long vacuum system made from Aluminium with 3 mm integrated B4C shielding is about 4.4 k€/m for cross section 12x12 cm². Included are the rubbers sleeves and clamps to connect the 2 m long vacuum housings.</t>
  </si>
  <si>
    <t>SD-H email: A steel support structure will costs about 1.2 k€ every 2 meter or 0.6 k€/m.</t>
  </si>
  <si>
    <t>installation, alignment and documentation</t>
  </si>
  <si>
    <t>CONFIGURATION 2</t>
  </si>
  <si>
    <t>SD-H email: The price for the installation, alignment and documentation is about 1.2 k€/m (for both guide and support)</t>
  </si>
  <si>
    <t>SHIELDING</t>
  </si>
  <si>
    <t>Guide shielding materials</t>
  </si>
  <si>
    <t>m³</t>
  </si>
  <si>
    <t>€/m³</t>
  </si>
  <si>
    <t>€</t>
  </si>
  <si>
    <t>Steel</t>
  </si>
  <si>
    <t>Concrete</t>
  </si>
  <si>
    <t>"NOSG Cost Calculation Process" + "MIRACLES. Preliminary shielding budget estimation for the scope setting meeting"</t>
  </si>
  <si>
    <t>CONFIGURATION 1</t>
  </si>
  <si>
    <t>Cost/unit (k eur)</t>
  </si>
  <si>
    <t>Units</t>
  </si>
  <si>
    <t>Total Cost (k eur)</t>
  </si>
  <si>
    <t>Laboral cost
per component
(keur)</t>
  </si>
  <si>
    <t>1. Spectrometer detector</t>
  </si>
  <si>
    <t>3He tubes</t>
  </si>
  <si>
    <t>Power supplies + cables</t>
  </si>
  <si>
    <t>Mounting frames</t>
  </si>
  <si>
    <t>2. Diffractometer backscattering detector</t>
  </si>
  <si>
    <t>3. Detector electronics</t>
  </si>
  <si>
    <t>Back end electronics</t>
  </si>
  <si>
    <t>4. Beam Monitors</t>
  </si>
  <si>
    <t>Position sensitive</t>
  </si>
  <si>
    <t>5. Labour Cost</t>
  </si>
  <si>
    <t>Specs &amp; Procurement (1person/2 months)</t>
  </si>
  <si>
    <t>Tests in ESS Bilbao (1 person/2 months)</t>
  </si>
  <si>
    <t>Installation (1 person / 1 months)</t>
  </si>
  <si>
    <t>Comissioning (1 person /2 months)</t>
  </si>
  <si>
    <t>TOTALS non laboral</t>
  </si>
  <si>
    <t>TOTALS detectors &amp; beam monitors</t>
  </si>
  <si>
    <t>Qtty</t>
  </si>
  <si>
    <t>Si-111 ANALYZER</t>
  </si>
  <si>
    <t>150º horizontal coverage</t>
  </si>
  <si>
    <t>120º horizontal coverage</t>
  </si>
  <si>
    <t>Cost [k€]</t>
  </si>
  <si>
    <t>Si-111 wafers:</t>
  </si>
  <si>
    <t>3He tubes &amp; Power supplies</t>
  </si>
  <si>
    <t>BASIS</t>
  </si>
  <si>
    <t>Power Supplies + Cables</t>
  </si>
  <si>
    <t>B4C Coating:</t>
  </si>
  <si>
    <t>Cast Aluminum Support Structure:</t>
  </si>
  <si>
    <t>TOTAL COST [k€] =</t>
  </si>
  <si>
    <t>Bending radius crystal analyzer (p)</t>
  </si>
  <si>
    <t>p = L / cos (90 - THbragg)</t>
  </si>
  <si>
    <t>Si perfect crystals of hexagonal shape that will be bent and glued to a spherical backing plate</t>
  </si>
  <si>
    <t>sample - analyzer distance, R [m] =</t>
  </si>
  <si>
    <t>Si-111 hexagonal crystal wafers, dimensions: 2mm thick, 12cm diagonal.</t>
  </si>
  <si>
    <t>THBragg [deg] =</t>
  </si>
  <si>
    <t>The surface area of the analyzer increases by 50% with a radial increase from 2.5 to 3 m</t>
  </si>
  <si>
    <t>p [m] =</t>
  </si>
  <si>
    <t>SILICON CRYSTALS</t>
  </si>
  <si>
    <t>Scattering Characterization System (SCS)</t>
  </si>
  <si>
    <t>- Beam monitors</t>
  </si>
  <si>
    <t>Conversion $-eur</t>
  </si>
  <si>
    <t>- Crystal analyzer</t>
  </si>
  <si>
    <t>$</t>
  </si>
  <si>
    <t>- Shielding / background</t>
  </si>
  <si>
    <t>1$</t>
  </si>
  <si>
    <t>Test in ESS Bilbao (1person/1month)</t>
  </si>
  <si>
    <t>- Beamstop</t>
  </si>
  <si>
    <t>Si Crystals Price</t>
  </si>
  <si>
    <t>150 $/wafer</t>
  </si>
  <si>
    <t>200 $/wafer</t>
  </si>
  <si>
    <t>Silicon density (kg/m3)</t>
  </si>
  <si>
    <t>Volume per wafer (m3)</t>
  </si>
  <si>
    <t>Weight per wafer (kg)</t>
  </si>
  <si>
    <t>44.27 g</t>
  </si>
  <si>
    <t>Single Analyzer PANEL (16.66666667º horizontal coverage, vertical coverage 22º)</t>
  </si>
  <si>
    <t>TOTALS  non laboral</t>
  </si>
  <si>
    <t>horizontal coverage per panel</t>
  </si>
  <si>
    <t>wafers per panel</t>
  </si>
  <si>
    <t>Total cost (k€)</t>
  </si>
  <si>
    <t>- One shell (panel) covers a solid angle of about 16.7º x 22º approx. 0.112 rad²</t>
  </si>
  <si>
    <t>Electronics cost
(keur)</t>
  </si>
  <si>
    <t>weight of the crystals in a panel (kg)</t>
  </si>
  <si>
    <t>horizontal coverage 1 panel [deg]</t>
  </si>
  <si>
    <t>rad</t>
  </si>
  <si>
    <t>vertical coverage 1 panel [deg]</t>
  </si>
  <si>
    <t>solid angle = area / radius²</t>
  </si>
  <si>
    <t>Chopper type</t>
  </si>
  <si>
    <t>Area of 1 panel of the analyzer [m²] =</t>
  </si>
  <si>
    <t>Chopper number</t>
  </si>
  <si>
    <t>Distance from moderator [m]</t>
  </si>
  <si>
    <t>Grounding Floor</t>
  </si>
  <si>
    <t>TOTAL Cost (k€)</t>
  </si>
  <si>
    <t xml:space="preserve">m² </t>
  </si>
  <si>
    <t>panels per set</t>
  </si>
  <si>
    <t>PWD</t>
  </si>
  <si>
    <t>Ch1</t>
  </si>
  <si>
    <t>SCENARIO 1:   150º horizontal coverage</t>
  </si>
  <si>
    <t>Bunker (R 28m)</t>
  </si>
  <si>
    <t>Sets of panels (1 upper and 1 lower)</t>
  </si>
  <si>
    <t>Analyser coverage</t>
  </si>
  <si>
    <t>cost keur</t>
  </si>
  <si>
    <t>Horizontal coverage</t>
  </si>
  <si>
    <t>Vertical coverage</t>
  </si>
  <si>
    <t>Panels per set (for 150º coverage)</t>
  </si>
  <si>
    <t>[deg]</t>
  </si>
  <si>
    <t xml:space="preserve">Total number of PANELS </t>
  </si>
  <si>
    <t>Ch2</t>
  </si>
  <si>
    <t>[rad]</t>
  </si>
  <si>
    <t>Chopper discs</t>
  </si>
  <si>
    <t>Total number WAFERS</t>
  </si>
  <si>
    <t>[m]</t>
  </si>
  <si>
    <t>PS</t>
  </si>
  <si>
    <t>Ch3</t>
  </si>
  <si>
    <t>Set aside +25% for breaking wafers, Total number of wafers</t>
  </si>
  <si>
    <t>eur</t>
  </si>
  <si>
    <t>CHIM</t>
  </si>
  <si>
    <t>Ch4</t>
  </si>
  <si>
    <t>solid angle [sr]</t>
  </si>
  <si>
    <t xml:space="preserve">Vacuum </t>
  </si>
  <si>
    <t>Area of the analyzer for 150º [m²] =</t>
  </si>
  <si>
    <t>Vertical Coverage</t>
  </si>
  <si>
    <t>Panels per set (for 120º coverage)</t>
  </si>
  <si>
    <t>WBD</t>
  </si>
  <si>
    <t>Ch5</t>
  </si>
  <si>
    <t>Chopper cooling</t>
  </si>
  <si>
    <t>Ch6</t>
  </si>
  <si>
    <t>E02/Guide Hall (R 154.5m)</t>
  </si>
  <si>
    <t>Chopper drive</t>
  </si>
  <si>
    <t>Ch7</t>
  </si>
  <si>
    <t>Master rack</t>
  </si>
  <si>
    <t>Area of the analyzer for 67º [m²] =</t>
  </si>
  <si>
    <t>Slave rack</t>
  </si>
  <si>
    <t>Condition monitoring</t>
  </si>
  <si>
    <t>Device</t>
  </si>
  <si>
    <t>External Power</t>
  </si>
  <si>
    <t>Laboral</t>
  </si>
  <si>
    <t>Integration</t>
  </si>
  <si>
    <t>Source</t>
  </si>
  <si>
    <t>SAD (Harald Schneider)</t>
  </si>
  <si>
    <t>Total Day 1 (option 2)</t>
  </si>
  <si>
    <t xml:space="preserve">Installation </t>
  </si>
  <si>
    <t>Commissioning</t>
  </si>
  <si>
    <t xml:space="preserve">TOTAL </t>
  </si>
  <si>
    <t>Total Day 1 + Upgrade (option 3)</t>
  </si>
  <si>
    <t>Quotations and extra info</t>
  </si>
  <si>
    <t>MIRACLES</t>
  </si>
  <si>
    <t>Option 2 (Day 1)</t>
  </si>
  <si>
    <t>Orange Cryofurnace (SAD-TEFI; 2-600K; plug&amp;play)</t>
  </si>
  <si>
    <t>no. units</t>
  </si>
  <si>
    <t>Top loading CCR, with customer High Temperature option</t>
  </si>
  <si>
    <t>High temperature furnace</t>
  </si>
  <si>
    <t>Humidity chamber</t>
  </si>
  <si>
    <t>Gas process handling, special dedicated cells</t>
  </si>
  <si>
    <t>COMPLETE ANALYZER</t>
  </si>
  <si>
    <t>High pressure cell</t>
  </si>
  <si>
    <t>Electromagnet</t>
  </si>
  <si>
    <t>Laser pump probe setup</t>
  </si>
  <si>
    <t>Orange Cryofurnace (SAD-TEFI; 2-600K; plug&amp;play; with sample changer 10-20 samples)</t>
  </si>
  <si>
    <t>6 kV HV supply (for e.g. electric-field control cells)</t>
  </si>
  <si>
    <t>Option MINIPOOL with SKADI??</t>
  </si>
  <si>
    <t>Commissioning &amp; first real tests</t>
  </si>
  <si>
    <t>ESS support</t>
  </si>
  <si>
    <t>ESS-0063538 - ESS contribution for instrument construction and infrastructure (Harald Schneider confirmed)</t>
  </si>
  <si>
    <t>Option 3 (or Option 2 upgrade)</t>
  </si>
  <si>
    <t>Dilution refrigerator insert / He3 insert</t>
  </si>
  <si>
    <t>Clamp cells</t>
  </si>
  <si>
    <t>In-situ thermal analysis measurements</t>
  </si>
  <si>
    <t>In-situ gas adsorption measurements</t>
  </si>
  <si>
    <t>Commissioning &amp; first tests &amp; Continuous user operation</t>
  </si>
  <si>
    <t>- Hexagonal crystal wafers of Si, 111 orientation</t>
  </si>
  <si>
    <t>Orange Cryofurnace (ILL; 50 mm; 2-600K)</t>
  </si>
  <si>
    <t>AS-Scientific and ECNS_2011/Poster_Dry_Cryostat.pdf</t>
  </si>
  <si>
    <t>Installation &amp; accesories O-CF (dewar, electronics,...)</t>
  </si>
  <si>
    <t>Top-loading type closed-cycle refrigerator CCR (cryogen-free): 2-750 K</t>
  </si>
  <si>
    <t xml:space="preserve">Standard Furnace -(Vanadium): &lt; 1600ºC (~1900 K) </t>
  </si>
  <si>
    <t>AS-Scientific</t>
  </si>
  <si>
    <t xml:space="preserve"> </t>
  </si>
  <si>
    <t>Accesories Furnace (Vacuum, electronics, spares....)</t>
  </si>
  <si>
    <t>Gas Pressure cell / Chemical reactor (design)</t>
  </si>
  <si>
    <t>A B4C sheet is mounted between the Silicon wafers and the aluminum support frame</t>
  </si>
  <si>
    <t>Heloisa</t>
  </si>
  <si>
    <t>Pressure rigs for gas and liquid handling (in cell loading)</t>
  </si>
  <si>
    <t>Gas processing / manifold and accesories</t>
  </si>
  <si>
    <t>ESS SE Pool</t>
  </si>
  <si>
    <t>Pump-probe (Light-excited) experiments</t>
  </si>
  <si>
    <t>Sample holders, different geometries:</t>
  </si>
  <si>
    <t>To share it with the pool</t>
  </si>
  <si>
    <t>Flat &amp; Annular aluminium alloy cans for powders, liquids or films, with varying thicknesses (0.1, 0.2, 0.25, 0.3, 0.4, 0.5, 1, 2 mm)</t>
  </si>
  <si>
    <t>Dry roughing and turbomolecular pumps</t>
  </si>
  <si>
    <t>3.5 k€ rough (x2); 5 k€ turbo 50 l; 12 k€ turbo 500 l</t>
  </si>
  <si>
    <t>Agilent (TeraTorr) and Varian</t>
  </si>
  <si>
    <t>Sample table (positioning stage)</t>
  </si>
  <si>
    <t>BIFROST</t>
  </si>
  <si>
    <t>Dilution stick</t>
  </si>
  <si>
    <t>Dilution stick (design)</t>
  </si>
  <si>
    <t>BIFROST (1 man year)</t>
  </si>
  <si>
    <t>Cryomagnet 9T</t>
  </si>
  <si>
    <t>Clamp-pressure cell: &lt; 2-3 GPa (20-30 kbar)</t>
  </si>
  <si>
    <t>Corrosive gas processing</t>
  </si>
  <si>
    <t xml:space="preserve">Source </t>
  </si>
  <si>
    <t>In-situ electric field control for membrane protein studies</t>
  </si>
  <si>
    <t>Xtreme D</t>
  </si>
  <si>
    <t>In-situ Raman system</t>
  </si>
  <si>
    <t>In-situ Raman + Catalysis cell: 250 k€ (Heloisa)</t>
  </si>
  <si>
    <t>Automatic sample changer for catalysis studies</t>
  </si>
  <si>
    <t>Facility to enable optical access to sample via fibre optics</t>
  </si>
  <si>
    <t>Total Day 1</t>
  </si>
  <si>
    <t>Total Day 1 + Phase 2</t>
  </si>
  <si>
    <t>Pool equipment (provided by ESS SAD)		0.00</t>
  </si>
  <si>
    <t>Vacuum Tank</t>
  </si>
  <si>
    <t>CAMEA: Aluminum vaccum tank, 5cm thick to sustain the outside pressure. 6 tons total weight of the tank (para 130º horizontal coverage y 2.8º vertical)</t>
  </si>
  <si>
    <t>BIFROST: Vacuum tank 120º coverage and 2.8m = 1.5 Meur</t>
  </si>
  <si>
    <t>Instrument cave</t>
  </si>
  <si>
    <t>CAMEA REPORT: Instrument Cave and beam stop = 1M€</t>
  </si>
  <si>
    <t>BIFROST: CAVE 750 keur (1m thick concrete 450 keur, 3mm boralcan plates = 200keur, manpower = 100 keur.)</t>
  </si>
  <si>
    <t>Shielding of the tank</t>
  </si>
  <si>
    <t>CAMEA: The tank is covered with a 30 cm layer of B4C on the outside and a thin layer of Cadmium on the inside (to reduce penetration of fast, epithermal, and thermal neutrons)</t>
  </si>
  <si>
    <t>Holders/supports and cadmium shielding for detectors</t>
  </si>
  <si>
    <t>Mechanical holders for analyzer</t>
  </si>
  <si>
    <t>Beam stop</t>
  </si>
  <si>
    <t>Mechanics needed to rotate all analyzers around sample position</t>
  </si>
  <si>
    <t>Radial Collimator</t>
  </si>
  <si>
    <t>105 k€ (JJXRAY)</t>
  </si>
  <si>
    <t>Beryllium Filter</t>
  </si>
  <si>
    <t>The beryllium filter supresses higher order reflections to provide access to high energy transfers</t>
  </si>
  <si>
    <t>Instruments</t>
  </si>
  <si>
    <t>TOTAL Cost k€:</t>
  </si>
  <si>
    <t>OSIRIS [k€]</t>
  </si>
  <si>
    <t>Be-filter cost (kpounds)</t>
  </si>
  <si>
    <t>Be-Filter MIRACLES:</t>
  </si>
  <si>
    <t xml:space="preserve">Notes: </t>
  </si>
  <si>
    <t>A retractable filter is required if some other reflections (apart from Si-111) are planned to be used.</t>
  </si>
  <si>
    <t>Price each</t>
  </si>
  <si>
    <t>Cost (keur)</t>
  </si>
  <si>
    <t>1 Inside Bunker</t>
  </si>
  <si>
    <t>Single Disc Chopper Assembly, Small rotor, Slow speed (x3)</t>
  </si>
  <si>
    <t>One chopper is inside the bunker, = +10%</t>
  </si>
  <si>
    <t>Inside Bunker+Safety Class</t>
  </si>
  <si>
    <t xml:space="preserve">Beryllium Cost: </t>
  </si>
  <si>
    <t>For 150º of horizontal coverage:</t>
  </si>
  <si>
    <t>Inside the bunker = +10%</t>
  </si>
  <si>
    <t>Cost per block [€]</t>
  </si>
  <si>
    <t xml:space="preserve">Number of Be blocks (0.5º each) </t>
  </si>
  <si>
    <t>Beryllium cost [k€]</t>
  </si>
  <si>
    <t>Reduce cost by 20% per unit if five or more units are used.</t>
  </si>
  <si>
    <t>Control Rack Master (x3)</t>
  </si>
  <si>
    <t>Housing and shielding of the filter: [k€]</t>
  </si>
  <si>
    <t xml:space="preserve">3 units. At least one per grounding zone, but we only have 2 zones (Bunker + E02/Guide Hall). </t>
  </si>
  <si>
    <t>One master rack can host up to four drives and one slave rack.</t>
  </si>
  <si>
    <t>Control Rack Slave (x1)</t>
  </si>
  <si>
    <t>One slave control rack can host up to eight drives.</t>
  </si>
  <si>
    <t>Chopper Drive (x7)</t>
  </si>
  <si>
    <t>Conversion pound-euro:</t>
  </si>
  <si>
    <t>TOTAL Cost [k€]</t>
  </si>
  <si>
    <t>One drive per axis. Reduce cost by 10% per unit if five or more units are used.</t>
  </si>
  <si>
    <t>Condition Monitoring (x2)</t>
  </si>
  <si>
    <t>For choppers primarily in the bunker. One per master rack inside the bunker.</t>
  </si>
  <si>
    <t>External Power (x7)</t>
  </si>
  <si>
    <t>One per axis. UPS and cables. +20% per additional chopper axis after the first.</t>
  </si>
  <si>
    <t>Vacuum System (x5)</t>
  </si>
  <si>
    <t>Including flanges and tubes. +15% per additional achopper assembly after the first.</t>
  </si>
  <si>
    <t>Cooling System (x1, for the high speed chopper assembly)</t>
  </si>
  <si>
    <t xml:space="preserve">1 unit (for the fast PWD chopper assembly). </t>
  </si>
  <si>
    <t>Maximum one chopper cooling system per assembly. Only the intermediate and fast speed choppers need cooling. Add 15% per additional chopper assembly after the first.</t>
  </si>
  <si>
    <t>Installation tooling</t>
  </si>
  <si>
    <t>Cost is zero if CHIM installation variants are used. Otherwise cost for lifting and extraction tooling is added.</t>
  </si>
  <si>
    <t>Maintenance tooling</t>
  </si>
  <si>
    <t>Insfraestructure</t>
  </si>
  <si>
    <t>Integration of the complete chopper system (x5)</t>
  </si>
  <si>
    <t>One per assembly. +30% per additional chopper assembly.</t>
  </si>
  <si>
    <t>Installation of the complete chopper system (x5)</t>
  </si>
  <si>
    <t>Commissioning of the complete chopper system (x5)</t>
  </si>
  <si>
    <t xml:space="preserve">TOTAL COST  : </t>
  </si>
  <si>
    <t>Over/Under disc chopper assembly, Small rotor, Slow speed (PS)</t>
  </si>
  <si>
    <t>Over/Under disc chopper assembly, Small rotor, High speed (PWD)</t>
  </si>
  <si>
    <t>CHIM, Horizontal Split, small rotor (x3)</t>
  </si>
  <si>
    <t>CHIM, Over/Under, small rotor (x3)</t>
  </si>
  <si>
    <t>Laboral budget</t>
  </si>
  <si>
    <t>Non laboral</t>
  </si>
  <si>
    <t>Source: BASIS</t>
  </si>
  <si>
    <t>Sources &amp;Comments:</t>
  </si>
  <si>
    <t>IN16B</t>
  </si>
  <si>
    <t xml:space="preserve"> IN16B graphite composite (120º horizontal, 38º vertical analyser)</t>
  </si>
  <si>
    <t xml:space="preserve">IN16B: HDPE + B10 sheet + support structure (Area of IN16B) </t>
  </si>
  <si>
    <t>MIRACLES analyzer 150º horizontal coverage = Full coverage
(Span is 150º = coverage of nearly 21% of 4*Pi steradians)</t>
  </si>
  <si>
    <t xml:space="preserve">Total Cost (k€) Si analyzer 12.6 m² </t>
  </si>
  <si>
    <t>Total Cost (k€) Si analyzer 9.7 m²</t>
  </si>
  <si>
    <t>MIRACLES analyzer 120º horizontal coverage
(Span is 116º = coverage of nearly % of 4*Pi steradians)</t>
  </si>
  <si>
    <t>SCENARIO 2:     120º horizontal coverage</t>
  </si>
  <si>
    <t xml:space="preserve"> B4C Coating backside of the Silicon wafers</t>
  </si>
  <si>
    <t>Aluminum support structure</t>
  </si>
  <si>
    <t>Shielding of the analyser  (HDPE + B10 + support structure)</t>
  </si>
  <si>
    <t>Manpower for gluing and alignment</t>
  </si>
  <si>
    <t>List of components</t>
  </si>
  <si>
    <t>Shielding (HDPE + B10):</t>
  </si>
  <si>
    <t xml:space="preserve">For 150º </t>
  </si>
  <si>
    <t xml:space="preserve">For  120º </t>
  </si>
  <si>
    <t>MIRACLES 
Chopper Cascade</t>
  </si>
  <si>
    <t>Cost (k eur)</t>
  </si>
  <si>
    <t>Electronics, Cooling &amp; Installation: [k€]</t>
  </si>
  <si>
    <t>FINAL VERSION (3 Master Rack)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</si>
</sst>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5" formatCode="&quot;£&quot;\k#,##0.00;&quot;£&quot;\-\k#,##0.00"/>
    <numFmt numFmtId="166" formatCode="&quot;£&quot;\k#,##0.0;&quot;£&quot;\-\k#,##0.00"/>
    <numFmt numFmtId="167" formatCode="[$£-809]#,##0.00"/>
    <numFmt numFmtId="168" formatCode="[$€]#,##0.00"/>
    <numFmt numFmtId="169" formatCode="0.0"/>
    <numFmt numFmtId="170" formatCode="#,##0.0000"/>
    <numFmt numFmtId="171" formatCode="0.0000"/>
    <numFmt numFmtId="172" formatCode="#,##0.00;\(#,##0.00\)"/>
    <numFmt numFmtId="174" formatCode="mmm\ yyyy"/>
    <numFmt numFmtId="175" formatCode="#,##0;\(#,##0\)"/>
    <numFmt numFmtId="176" formatCode="#,##0.0"/>
  </numFmts>
  <fonts count="57">
    <font>
      <sz val="10"/>
      <color rgb="FF000000"/>
      <name val="Arial"/>
    </font>
    <font>
      <sz val="10"/>
      <name val="Arial"/>
      <family val="2"/>
    </font>
    <font>
      <b/>
      <sz val="9"/>
      <color rgb="FF000000"/>
      <name val="&quot;Calibri&quot;"/>
    </font>
    <font>
      <b/>
      <sz val="10"/>
      <name val="Arial"/>
      <family val="2"/>
    </font>
    <font>
      <b/>
      <sz val="9"/>
      <color rgb="FF000000"/>
      <name val="Calibri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1F497D"/>
      <name val="Calibri"/>
      <family val="2"/>
    </font>
    <font>
      <sz val="11"/>
      <color rgb="FF1F497D"/>
      <name val="&quot;Times New Roman&quot;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2"/>
      <color rgb="FFFFFFFF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1F497D"/>
      <name val="Arial"/>
      <family val="2"/>
    </font>
    <font>
      <b/>
      <sz val="14"/>
      <color rgb="FF1F497D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i/>
      <sz val="9"/>
      <name val="Arial"/>
      <family val="2"/>
    </font>
    <font>
      <b/>
      <sz val="14"/>
      <color rgb="FFFF0000"/>
      <name val="Arial"/>
      <family val="2"/>
    </font>
    <font>
      <b/>
      <sz val="14"/>
      <color rgb="FFFFFFFF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sz val="10"/>
      <color rgb="FF38761D"/>
      <name val="Arial"/>
      <family val="2"/>
    </font>
    <font>
      <b/>
      <sz val="10"/>
      <color rgb="FFFFFFFF"/>
      <name val="Arial"/>
      <family val="2"/>
    </font>
    <font>
      <b/>
      <sz val="14"/>
      <color rgb="FFFFFFFF"/>
      <name val="Arial"/>
      <family val="2"/>
    </font>
    <font>
      <b/>
      <i/>
      <sz val="11"/>
      <color rgb="FFFFFFFF"/>
      <name val="Arial"/>
      <family val="2"/>
    </font>
    <font>
      <b/>
      <sz val="11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0000"/>
      <name val="Arial"/>
      <family val="2"/>
    </font>
    <font>
      <i/>
      <sz val="10"/>
      <color rgb="FFFF0000"/>
      <name val="Arial"/>
      <family val="2"/>
    </font>
    <font>
      <sz val="10"/>
      <name val="Arial"/>
      <family val="2"/>
    </font>
    <font>
      <b/>
      <sz val="14"/>
      <color rgb="FF666666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&quot;Arial&quot;"/>
    </font>
    <font>
      <sz val="10"/>
      <color rgb="FF3366FF"/>
      <name val="&quot;Arial&quot;"/>
    </font>
    <font>
      <u/>
      <sz val="10"/>
      <color rgb="FF0000FF"/>
      <name val="Arial"/>
      <family val="2"/>
    </font>
    <font>
      <sz val="10"/>
      <color rgb="FF008000"/>
      <name val="&quot;Arial&quot;"/>
    </font>
    <font>
      <b/>
      <sz val="11"/>
      <color rgb="FF1155CC"/>
      <name val="Arial"/>
      <family val="2"/>
    </font>
    <font>
      <b/>
      <sz val="10"/>
      <color rgb="FF0B5394"/>
      <name val="Arial"/>
      <family val="2"/>
    </font>
    <font>
      <sz val="10"/>
      <color rgb="FF0B5394"/>
      <name val="Arial"/>
      <family val="2"/>
    </font>
    <font>
      <b/>
      <sz val="11"/>
      <color rgb="FF000000"/>
      <name val="Arial"/>
      <family val="2"/>
    </font>
    <font>
      <u/>
      <sz val="10"/>
      <color rgb="FF0000FF"/>
      <name val="Arial"/>
      <family val="2"/>
    </font>
    <font>
      <i/>
      <sz val="10"/>
      <color rgb="FF38761D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color rgb="FF38761D"/>
      <name val="Arial"/>
      <family val="2"/>
    </font>
    <font>
      <b/>
      <sz val="12"/>
      <color rgb="FF000000"/>
      <name val="Arial"/>
      <family val="2"/>
    </font>
    <font>
      <sz val="11"/>
      <color rgb="FF1F497D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F0000"/>
        <bgColor rgb="FFFF0000"/>
      </patternFill>
    </fill>
    <fill>
      <patternFill patternType="solid">
        <fgColor rgb="FFC9DAF8"/>
        <bgColor rgb="FFC9DAF8"/>
      </patternFill>
    </fill>
    <fill>
      <patternFill patternType="solid">
        <fgColor rgb="FFD0E0E3"/>
        <bgColor rgb="FFD0E0E3"/>
      </patternFill>
    </fill>
    <fill>
      <patternFill patternType="solid">
        <fgColor rgb="FFB6D7A8"/>
        <bgColor rgb="FFB6D7A8"/>
      </patternFill>
    </fill>
    <fill>
      <patternFill patternType="solid">
        <fgColor rgb="FF134F5C"/>
        <bgColor rgb="FF134F5C"/>
      </patternFill>
    </fill>
    <fill>
      <patternFill patternType="solid">
        <fgColor rgb="FFD9EAD3"/>
        <bgColor rgb="FFD9EAD3"/>
      </patternFill>
    </fill>
    <fill>
      <patternFill patternType="solid">
        <fgColor rgb="FFB7E1CD"/>
        <bgColor rgb="FFB7E1CD"/>
      </patternFill>
    </fill>
    <fill>
      <patternFill patternType="solid">
        <fgColor rgb="FFE6B8AF"/>
        <bgColor rgb="FFE6B8AF"/>
      </patternFill>
    </fill>
    <fill>
      <patternFill patternType="solid">
        <fgColor rgb="FFEFEFEF"/>
        <bgColor rgb="FFEFEFEF"/>
      </patternFill>
    </fill>
    <fill>
      <patternFill patternType="solid">
        <fgColor rgb="FF1F497D"/>
        <bgColor rgb="FF1F497D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20124D"/>
        <bgColor rgb="FF20124D"/>
      </patternFill>
    </fill>
    <fill>
      <patternFill patternType="solid">
        <fgColor rgb="FFE06666"/>
        <bgColor rgb="FFE06666"/>
      </patternFill>
    </fill>
    <fill>
      <patternFill patternType="solid">
        <fgColor rgb="FFFFF2CC"/>
        <bgColor rgb="FFFFF2CC"/>
      </patternFill>
    </fill>
    <fill>
      <patternFill patternType="solid">
        <fgColor rgb="FF6FA8DC"/>
        <bgColor rgb="FF6FA8DC"/>
      </patternFill>
    </fill>
    <fill>
      <patternFill patternType="solid">
        <fgColor rgb="FF45818E"/>
        <bgColor rgb="FF45818E"/>
      </patternFill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  <fill>
      <patternFill patternType="solid">
        <fgColor rgb="FFC6E0B4"/>
        <bgColor rgb="FFC6E0B4"/>
      </patternFill>
    </fill>
    <fill>
      <patternFill patternType="solid">
        <fgColor rgb="FFD9D2E9"/>
        <bgColor rgb="FFD9D2E9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999999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7B7B7"/>
      </left>
      <right/>
      <top style="thin">
        <color rgb="FFB7B7B7"/>
      </top>
      <bottom/>
      <diagonal/>
    </border>
    <border>
      <left/>
      <right/>
      <top style="thin">
        <color rgb="FFB7B7B7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CC0000"/>
      </left>
      <right/>
      <top style="thin">
        <color rgb="FFCC0000"/>
      </top>
      <bottom/>
      <diagonal/>
    </border>
    <border>
      <left/>
      <right style="thin">
        <color rgb="FFCC0000"/>
      </right>
      <top style="thin">
        <color rgb="FFCC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CC0000"/>
      </left>
      <right/>
      <top/>
      <bottom style="thin">
        <color rgb="FFCC0000"/>
      </bottom>
      <diagonal/>
    </border>
    <border>
      <left/>
      <right style="thin">
        <color rgb="FFCC0000"/>
      </right>
      <top/>
      <bottom/>
      <diagonal/>
    </border>
    <border>
      <left/>
      <right/>
      <top style="thin">
        <color rgb="FF999999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CC0000"/>
      </bottom>
      <diagonal/>
    </border>
  </borders>
  <cellStyleXfs count="1">
    <xf numFmtId="0" fontId="0" fillId="0" borderId="0"/>
  </cellStyleXfs>
  <cellXfs count="321">
    <xf numFmtId="0" fontId="0" fillId="0" borderId="0" xfId="0" applyFont="1" applyAlignment="1"/>
    <xf numFmtId="0" fontId="1" fillId="2" borderId="0" xfId="0" applyFont="1" applyFill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3" borderId="0" xfId="0" applyFont="1" applyFill="1" applyAlignme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3" fillId="0" borderId="0" xfId="0" applyFont="1" applyAlignment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/>
    <xf numFmtId="0" fontId="1" fillId="0" borderId="1" xfId="0" applyFont="1" applyBorder="1" applyAlignme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5" fillId="0" borderId="0" xfId="0" applyFont="1" applyAlignment="1"/>
    <xf numFmtId="0" fontId="5" fillId="0" borderId="0" xfId="0" applyFont="1"/>
    <xf numFmtId="0" fontId="1" fillId="4" borderId="0" xfId="0" applyFont="1" applyFill="1"/>
    <xf numFmtId="0" fontId="1" fillId="4" borderId="0" xfId="0" applyFont="1" applyFill="1" applyAlignment="1"/>
    <xf numFmtId="0" fontId="2" fillId="4" borderId="1" xfId="0" applyFont="1" applyFill="1" applyBorder="1" applyAlignment="1"/>
    <xf numFmtId="0" fontId="1" fillId="4" borderId="1" xfId="0" applyFont="1" applyFill="1" applyBorder="1" applyAlignment="1"/>
    <xf numFmtId="2" fontId="1" fillId="0" borderId="0" xfId="0" applyNumberFormat="1" applyFont="1" applyAlignment="1">
      <alignment horizontal="center"/>
    </xf>
    <xf numFmtId="0" fontId="1" fillId="5" borderId="0" xfId="0" applyFont="1" applyFill="1" applyAlignment="1"/>
    <xf numFmtId="0" fontId="8" fillId="0" borderId="0" xfId="0" applyFont="1" applyAlignment="1">
      <alignment vertical="top"/>
    </xf>
    <xf numFmtId="0" fontId="6" fillId="0" borderId="0" xfId="0" applyFont="1" applyAlignment="1"/>
    <xf numFmtId="165" fontId="6" fillId="0" borderId="0" xfId="0" applyNumberFormat="1" applyFont="1" applyAlignment="1"/>
    <xf numFmtId="166" fontId="7" fillId="0" borderId="0" xfId="0" applyNumberFormat="1" applyFont="1" applyAlignment="1">
      <alignment horizontal="right"/>
    </xf>
    <xf numFmtId="165" fontId="6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7" fillId="0" borderId="0" xfId="0" applyFont="1" applyAlignment="1">
      <alignment vertical="top"/>
    </xf>
    <xf numFmtId="165" fontId="7" fillId="0" borderId="0" xfId="0" applyNumberFormat="1" applyFont="1" applyAlignment="1">
      <alignment horizontal="right" vertical="top"/>
    </xf>
    <xf numFmtId="0" fontId="3" fillId="0" borderId="1" xfId="0" applyFont="1" applyBorder="1" applyAlignment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/>
    <xf numFmtId="0" fontId="1" fillId="6" borderId="0" xfId="0" applyFont="1" applyFill="1" applyAlignment="1"/>
    <xf numFmtId="0" fontId="1" fillId="0" borderId="0" xfId="0" applyFont="1" applyAlignment="1">
      <alignment horizontal="left"/>
    </xf>
    <xf numFmtId="167" fontId="1" fillId="0" borderId="0" xfId="0" applyNumberFormat="1" applyFont="1"/>
    <xf numFmtId="167" fontId="1" fillId="0" borderId="0" xfId="0" applyNumberFormat="1" applyFont="1" applyAlignment="1"/>
    <xf numFmtId="168" fontId="1" fillId="9" borderId="0" xfId="0" applyNumberFormat="1" applyFont="1" applyFill="1" applyAlignment="1"/>
    <xf numFmtId="168" fontId="1" fillId="9" borderId="0" xfId="0" applyNumberFormat="1" applyFont="1" applyFill="1" applyAlignment="1"/>
    <xf numFmtId="0" fontId="9" fillId="0" borderId="0" xfId="0" applyFont="1" applyAlignment="1">
      <alignment horizontal="center"/>
    </xf>
    <xf numFmtId="0" fontId="11" fillId="4" borderId="0" xfId="0" applyFont="1" applyFill="1" applyAlignment="1"/>
    <xf numFmtId="0" fontId="12" fillId="4" borderId="0" xfId="0" applyFont="1" applyFill="1" applyAlignment="1"/>
    <xf numFmtId="0" fontId="13" fillId="0" borderId="0" xfId="0" applyFont="1" applyAlignment="1"/>
    <xf numFmtId="0" fontId="9" fillId="0" borderId="0" xfId="0" applyFont="1" applyAlignment="1"/>
    <xf numFmtId="0" fontId="14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2" fontId="6" fillId="0" borderId="0" xfId="0" applyNumberFormat="1" applyFont="1" applyAlignment="1"/>
    <xf numFmtId="2" fontId="7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11" borderId="5" xfId="0" applyFont="1" applyFill="1" applyBorder="1" applyAlignment="1">
      <alignment vertical="center"/>
    </xf>
    <xf numFmtId="0" fontId="1" fillId="8" borderId="5" xfId="0" applyFont="1" applyFill="1" applyBorder="1" applyAlignment="1">
      <alignment horizontal="center"/>
    </xf>
    <xf numFmtId="0" fontId="3" fillId="12" borderId="0" xfId="0" applyFont="1" applyFill="1" applyAlignment="1"/>
    <xf numFmtId="0" fontId="13" fillId="12" borderId="0" xfId="0" applyFont="1" applyFill="1" applyAlignment="1">
      <alignment horizontal="left"/>
    </xf>
    <xf numFmtId="0" fontId="1" fillId="12" borderId="0" xfId="0" applyFont="1" applyFill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1" fillId="7" borderId="0" xfId="0" applyFont="1" applyFill="1" applyAlignment="1"/>
    <xf numFmtId="2" fontId="3" fillId="8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3" fillId="12" borderId="2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6" fillId="12" borderId="0" xfId="0" applyFont="1" applyFill="1" applyAlignment="1"/>
    <xf numFmtId="0" fontId="17" fillId="12" borderId="0" xfId="0" applyFont="1" applyFill="1" applyAlignment="1"/>
    <xf numFmtId="0" fontId="16" fillId="12" borderId="2" xfId="0" applyFont="1" applyFill="1" applyBorder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" fillId="12" borderId="0" xfId="0" applyFont="1" applyFill="1" applyAlignment="1">
      <alignment horizontal="center"/>
    </xf>
    <xf numFmtId="0" fontId="3" fillId="12" borderId="9" xfId="0" applyFont="1" applyFill="1" applyBorder="1" applyAlignment="1">
      <alignment horizontal="center"/>
    </xf>
    <xf numFmtId="0" fontId="1" fillId="0" borderId="10" xfId="0" applyFont="1" applyBorder="1" applyAlignme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12" borderId="12" xfId="0" applyFont="1" applyFill="1" applyBorder="1" applyAlignment="1">
      <alignment horizontal="center"/>
    </xf>
    <xf numFmtId="0" fontId="21" fillId="0" borderId="0" xfId="0" applyFont="1" applyAlignment="1"/>
    <xf numFmtId="0" fontId="22" fillId="0" borderId="5" xfId="0" applyFont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7" borderId="0" xfId="0" applyFont="1" applyFill="1" applyAlignment="1">
      <alignment horizontal="right"/>
    </xf>
    <xf numFmtId="0" fontId="3" fillId="0" borderId="12" xfId="0" applyFont="1" applyBorder="1" applyAlignment="1">
      <alignment horizontal="center"/>
    </xf>
    <xf numFmtId="169" fontId="24" fillId="7" borderId="0" xfId="0" applyNumberFormat="1" applyFont="1" applyFill="1" applyAlignment="1">
      <alignment horizontal="center"/>
    </xf>
    <xf numFmtId="0" fontId="1" fillId="0" borderId="4" xfId="0" applyFont="1" applyBorder="1"/>
    <xf numFmtId="0" fontId="25" fillId="0" borderId="0" xfId="0" applyFont="1" applyAlignment="1">
      <alignment horizontal="left"/>
    </xf>
    <xf numFmtId="0" fontId="1" fillId="0" borderId="12" xfId="0" applyFont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3" fillId="12" borderId="12" xfId="0" applyFont="1" applyFill="1" applyBorder="1" applyAlignment="1"/>
    <xf numFmtId="0" fontId="26" fillId="13" borderId="0" xfId="0" applyFont="1" applyFill="1" applyAlignment="1">
      <alignment horizontal="right" vertical="center"/>
    </xf>
    <xf numFmtId="169" fontId="26" fillId="13" borderId="0" xfId="0" applyNumberFormat="1" applyFont="1" applyFill="1" applyAlignment="1">
      <alignment horizontal="center" vertical="center"/>
    </xf>
    <xf numFmtId="0" fontId="18" fillId="4" borderId="2" xfId="0" applyFont="1" applyFill="1" applyBorder="1" applyAlignment="1">
      <alignment horizontal="center"/>
    </xf>
    <xf numFmtId="0" fontId="3" fillId="14" borderId="0" xfId="0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left"/>
    </xf>
    <xf numFmtId="0" fontId="3" fillId="16" borderId="0" xfId="0" applyFont="1" applyFill="1" applyAlignment="1">
      <alignment horizontal="center"/>
    </xf>
    <xf numFmtId="3" fontId="3" fillId="16" borderId="0" xfId="0" applyNumberFormat="1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" fillId="12" borderId="14" xfId="0" applyFont="1" applyFill="1" applyBorder="1" applyAlignment="1"/>
    <xf numFmtId="0" fontId="1" fillId="12" borderId="17" xfId="0" applyFont="1" applyFill="1" applyBorder="1" applyAlignment="1">
      <alignment horizontal="center"/>
    </xf>
    <xf numFmtId="0" fontId="10" fillId="12" borderId="18" xfId="0" applyFont="1" applyFill="1" applyBorder="1" applyAlignment="1">
      <alignment horizontal="center"/>
    </xf>
    <xf numFmtId="0" fontId="30" fillId="0" borderId="0" xfId="0" applyFont="1" applyAlignment="1"/>
    <xf numFmtId="0" fontId="1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2" fontId="1" fillId="0" borderId="0" xfId="0" applyNumberFormat="1" applyFont="1" applyAlignment="1">
      <alignment horizontal="left"/>
    </xf>
    <xf numFmtId="170" fontId="1" fillId="0" borderId="0" xfId="0" applyNumberFormat="1" applyFont="1" applyAlignment="1">
      <alignment horizontal="right"/>
    </xf>
    <xf numFmtId="0" fontId="1" fillId="4" borderId="2" xfId="0" applyFont="1" applyFill="1" applyBorder="1" applyAlignment="1">
      <alignment horizontal="center"/>
    </xf>
    <xf numFmtId="0" fontId="31" fillId="18" borderId="0" xfId="0" applyFont="1" applyFill="1" applyAlignment="1">
      <alignment horizontal="center" vertical="center"/>
    </xf>
    <xf numFmtId="0" fontId="10" fillId="0" borderId="0" xfId="0" applyFont="1" applyAlignment="1">
      <alignment horizontal="right"/>
    </xf>
    <xf numFmtId="171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3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169" fontId="9" fillId="0" borderId="0" xfId="0" applyNumberFormat="1" applyFont="1" applyAlignment="1">
      <alignment horizontal="center"/>
    </xf>
    <xf numFmtId="0" fontId="13" fillId="21" borderId="3" xfId="0" applyFont="1" applyFill="1" applyBorder="1" applyAlignment="1">
      <alignment horizontal="center"/>
    </xf>
    <xf numFmtId="0" fontId="1" fillId="21" borderId="23" xfId="0" applyFont="1" applyFill="1" applyBorder="1" applyAlignment="1">
      <alignment horizontal="center"/>
    </xf>
    <xf numFmtId="0" fontId="34" fillId="22" borderId="0" xfId="0" applyFont="1" applyFill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" fillId="12" borderId="26" xfId="0" applyFont="1" applyFill="1" applyBorder="1" applyAlignment="1">
      <alignment horizontal="center"/>
    </xf>
    <xf numFmtId="0" fontId="1" fillId="0" borderId="9" xfId="0" applyFont="1" applyBorder="1" applyAlignment="1"/>
    <xf numFmtId="0" fontId="1" fillId="0" borderId="13" xfId="0" applyFont="1" applyBorder="1" applyAlignment="1">
      <alignment horizontal="center" vertical="center"/>
    </xf>
    <xf numFmtId="0" fontId="13" fillId="21" borderId="27" xfId="0" applyFont="1" applyFill="1" applyBorder="1" applyAlignment="1">
      <alignment horizontal="center"/>
    </xf>
    <xf numFmtId="0" fontId="1" fillId="21" borderId="10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0" fillId="23" borderId="0" xfId="0" applyFont="1" applyFill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0" fontId="3" fillId="12" borderId="26" xfId="0" applyFont="1" applyFill="1" applyBorder="1" applyAlignment="1">
      <alignment horizontal="center"/>
    </xf>
    <xf numFmtId="169" fontId="35" fillId="19" borderId="28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169" fontId="36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left"/>
    </xf>
    <xf numFmtId="0" fontId="10" fillId="0" borderId="0" xfId="0" applyFont="1" applyAlignment="1">
      <alignment horizontal="right" vertical="center"/>
    </xf>
    <xf numFmtId="169" fontId="10" fillId="0" borderId="0" xfId="0" applyNumberFormat="1" applyFont="1" applyAlignment="1">
      <alignment horizontal="center"/>
    </xf>
    <xf numFmtId="169" fontId="1" fillId="0" borderId="0" xfId="0" applyNumberFormat="1" applyFont="1"/>
    <xf numFmtId="0" fontId="3" fillId="0" borderId="0" xfId="0" applyFont="1" applyAlignment="1">
      <alignment horizontal="center"/>
    </xf>
    <xf numFmtId="169" fontId="1" fillId="0" borderId="13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/>
    </xf>
    <xf numFmtId="0" fontId="13" fillId="7" borderId="0" xfId="0" applyFont="1" applyFill="1" applyAlignment="1">
      <alignment horizontal="center"/>
    </xf>
    <xf numFmtId="0" fontId="1" fillId="7" borderId="4" xfId="0" applyFont="1" applyFill="1" applyBorder="1" applyAlignment="1">
      <alignment horizontal="center"/>
    </xf>
    <xf numFmtId="170" fontId="1" fillId="0" borderId="0" xfId="0" applyNumberFormat="1" applyFont="1" applyAlignment="1">
      <alignment horizontal="center"/>
    </xf>
    <xf numFmtId="0" fontId="13" fillId="7" borderId="27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37" fillId="0" borderId="0" xfId="0" applyFont="1" applyAlignment="1">
      <alignment horizontal="right"/>
    </xf>
    <xf numFmtId="1" fontId="3" fillId="4" borderId="0" xfId="0" applyNumberFormat="1" applyFont="1" applyFill="1" applyAlignment="1">
      <alignment horizontal="center"/>
    </xf>
    <xf numFmtId="0" fontId="38" fillId="0" borderId="1" xfId="0" applyFont="1" applyBorder="1" applyAlignment="1"/>
    <xf numFmtId="0" fontId="38" fillId="0" borderId="0" xfId="0" applyFont="1" applyAlignment="1"/>
    <xf numFmtId="0" fontId="1" fillId="2" borderId="1" xfId="0" applyFont="1" applyFill="1" applyBorder="1" applyAlignment="1"/>
    <xf numFmtId="0" fontId="13" fillId="0" borderId="0" xfId="0" applyFont="1" applyAlignment="1">
      <alignment horizontal="center" vertical="center"/>
    </xf>
    <xf numFmtId="0" fontId="0" fillId="0" borderId="1" xfId="0" applyFont="1" applyBorder="1" applyAlignment="1">
      <alignment vertical="top"/>
    </xf>
    <xf numFmtId="172" fontId="6" fillId="0" borderId="1" xfId="0" applyNumberFormat="1" applyFont="1" applyBorder="1" applyAlignment="1"/>
    <xf numFmtId="0" fontId="23" fillId="20" borderId="0" xfId="0" applyFont="1" applyFill="1" applyAlignment="1">
      <alignment horizontal="center"/>
    </xf>
    <xf numFmtId="172" fontId="0" fillId="0" borderId="1" xfId="0" applyNumberFormat="1" applyFont="1" applyBorder="1" applyAlignment="1">
      <alignment horizontal="right" vertical="top"/>
    </xf>
    <xf numFmtId="172" fontId="0" fillId="0" borderId="1" xfId="0" applyNumberFormat="1" applyFont="1" applyBorder="1" applyAlignment="1">
      <alignment horizontal="right" vertical="top"/>
    </xf>
    <xf numFmtId="169" fontId="3" fillId="0" borderId="0" xfId="0" applyNumberFormat="1" applyFont="1" applyAlignment="1">
      <alignment horizontal="center"/>
    </xf>
    <xf numFmtId="172" fontId="1" fillId="0" borderId="1" xfId="0" applyNumberFormat="1" applyFont="1" applyBorder="1"/>
    <xf numFmtId="172" fontId="38" fillId="0" borderId="1" xfId="0" applyNumberFormat="1" applyFont="1" applyBorder="1" applyAlignment="1"/>
    <xf numFmtId="0" fontId="39" fillId="24" borderId="0" xfId="0" applyFont="1" applyFill="1" applyAlignment="1"/>
    <xf numFmtId="0" fontId="1" fillId="24" borderId="0" xfId="0" applyFont="1" applyFill="1"/>
    <xf numFmtId="0" fontId="1" fillId="24" borderId="0" xfId="0" applyFont="1" applyFill="1" applyAlignment="1">
      <alignment horizontal="center"/>
    </xf>
    <xf numFmtId="0" fontId="0" fillId="0" borderId="0" xfId="0" applyFont="1" applyAlignment="1">
      <alignment vertical="top"/>
    </xf>
    <xf numFmtId="172" fontId="0" fillId="0" borderId="0" xfId="0" applyNumberFormat="1" applyFont="1" applyAlignment="1">
      <alignment horizontal="right" vertical="top"/>
    </xf>
    <xf numFmtId="172" fontId="0" fillId="0" borderId="0" xfId="0" applyNumberFormat="1" applyFont="1" applyAlignment="1">
      <alignment horizontal="right" vertical="top"/>
    </xf>
    <xf numFmtId="0" fontId="40" fillId="0" borderId="0" xfId="0" applyFont="1"/>
    <xf numFmtId="0" fontId="38" fillId="0" borderId="0" xfId="0" applyFont="1"/>
    <xf numFmtId="0" fontId="40" fillId="0" borderId="1" xfId="0" applyFont="1" applyBorder="1" applyAlignment="1"/>
    <xf numFmtId="0" fontId="41" fillId="4" borderId="0" xfId="0" applyFont="1" applyFill="1" applyAlignment="1"/>
    <xf numFmtId="0" fontId="42" fillId="0" borderId="1" xfId="0" applyFont="1" applyBorder="1" applyAlignment="1"/>
    <xf numFmtId="0" fontId="43" fillId="0" borderId="1" xfId="0" applyFont="1" applyBorder="1" applyAlignment="1"/>
    <xf numFmtId="0" fontId="40" fillId="0" borderId="1" xfId="0" applyFont="1" applyBorder="1" applyAlignment="1">
      <alignment wrapText="1"/>
    </xf>
    <xf numFmtId="0" fontId="0" fillId="4" borderId="1" xfId="0" applyFont="1" applyFill="1" applyBorder="1" applyAlignment="1"/>
    <xf numFmtId="172" fontId="0" fillId="4" borderId="1" xfId="0" applyNumberFormat="1" applyFont="1" applyFill="1" applyBorder="1" applyAlignment="1">
      <alignment horizontal="right"/>
    </xf>
    <xf numFmtId="0" fontId="44" fillId="0" borderId="0" xfId="0" applyFont="1" applyAlignment="1">
      <alignment horizontal="left"/>
    </xf>
    <xf numFmtId="0" fontId="41" fillId="4" borderId="1" xfId="0" applyFont="1" applyFill="1" applyBorder="1" applyAlignment="1"/>
    <xf numFmtId="0" fontId="6" fillId="0" borderId="1" xfId="0" applyFont="1" applyBorder="1" applyAlignment="1"/>
    <xf numFmtId="172" fontId="38" fillId="0" borderId="1" xfId="0" applyNumberFormat="1" applyFont="1" applyBorder="1" applyAlignment="1"/>
    <xf numFmtId="2" fontId="7" fillId="0" borderId="1" xfId="0" applyNumberFormat="1" applyFont="1" applyBorder="1" applyAlignment="1">
      <alignment horizontal="left"/>
    </xf>
    <xf numFmtId="0" fontId="45" fillId="0" borderId="1" xfId="0" applyFont="1" applyBorder="1" applyAlignment="1"/>
    <xf numFmtId="172" fontId="0" fillId="0" borderId="1" xfId="0" applyNumberFormat="1" applyFont="1" applyBorder="1" applyAlignment="1"/>
    <xf numFmtId="2" fontId="6" fillId="0" borderId="1" xfId="0" applyNumberFormat="1" applyFont="1" applyBorder="1" applyAlignment="1"/>
    <xf numFmtId="0" fontId="46" fillId="0" borderId="0" xfId="0" applyFont="1" applyAlignment="1">
      <alignment horizontal="center"/>
    </xf>
    <xf numFmtId="172" fontId="0" fillId="4" borderId="0" xfId="0" applyNumberFormat="1" applyFont="1" applyFill="1" applyAlignment="1">
      <alignment horizontal="right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left"/>
    </xf>
    <xf numFmtId="172" fontId="0" fillId="25" borderId="0" xfId="0" applyNumberFormat="1" applyFont="1" applyFill="1" applyAlignment="1">
      <alignment horizontal="right"/>
    </xf>
    <xf numFmtId="169" fontId="17" fillId="0" borderId="0" xfId="0" applyNumberFormat="1" applyFont="1" applyAlignment="1">
      <alignment horizontal="center"/>
    </xf>
    <xf numFmtId="172" fontId="38" fillId="0" borderId="1" xfId="0" applyNumberFormat="1" applyFont="1" applyBorder="1" applyAlignment="1"/>
    <xf numFmtId="0" fontId="48" fillId="0" borderId="0" xfId="0" applyFont="1" applyAlignment="1"/>
    <xf numFmtId="2" fontId="6" fillId="0" borderId="1" xfId="0" applyNumberFormat="1" applyFont="1" applyBorder="1" applyAlignment="1"/>
    <xf numFmtId="1" fontId="17" fillId="0" borderId="0" xfId="0" applyNumberFormat="1" applyFont="1" applyAlignment="1">
      <alignment horizontal="center" vertical="center"/>
    </xf>
    <xf numFmtId="166" fontId="6" fillId="0" borderId="4" xfId="0" applyNumberFormat="1" applyFont="1" applyBorder="1" applyAlignment="1"/>
    <xf numFmtId="166" fontId="7" fillId="0" borderId="4" xfId="0" applyNumberFormat="1" applyFont="1" applyBorder="1" applyAlignment="1">
      <alignment horizontal="right"/>
    </xf>
    <xf numFmtId="0" fontId="23" fillId="0" borderId="0" xfId="0" applyFont="1" applyAlignment="1"/>
    <xf numFmtId="0" fontId="38" fillId="0" borderId="1" xfId="0" applyFont="1" applyBorder="1"/>
    <xf numFmtId="0" fontId="13" fillId="0" borderId="0" xfId="0" applyFont="1"/>
    <xf numFmtId="0" fontId="6" fillId="0" borderId="1" xfId="0" applyFont="1" applyBorder="1" applyAlignment="1"/>
    <xf numFmtId="2" fontId="42" fillId="0" borderId="0" xfId="0" applyNumberFormat="1" applyFont="1" applyAlignment="1"/>
    <xf numFmtId="2" fontId="7" fillId="0" borderId="1" xfId="0" applyNumberFormat="1" applyFont="1" applyBorder="1" applyAlignment="1">
      <alignment horizontal="center"/>
    </xf>
    <xf numFmtId="0" fontId="40" fillId="0" borderId="0" xfId="0" applyFont="1" applyAlignment="1"/>
    <xf numFmtId="0" fontId="38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2" fontId="3" fillId="0" borderId="0" xfId="0" applyNumberFormat="1" applyFont="1" applyAlignment="1"/>
    <xf numFmtId="169" fontId="3" fillId="0" borderId="0" xfId="0" applyNumberFormat="1" applyFont="1" applyAlignment="1"/>
    <xf numFmtId="0" fontId="3" fillId="23" borderId="0" xfId="0" applyFont="1" applyFill="1" applyAlignment="1">
      <alignment horizontal="center"/>
    </xf>
    <xf numFmtId="0" fontId="7" fillId="0" borderId="0" xfId="0" applyFont="1" applyAlignment="1">
      <alignment horizontal="right" vertical="top"/>
    </xf>
    <xf numFmtId="2" fontId="6" fillId="0" borderId="0" xfId="0" applyNumberFormat="1" applyFont="1" applyAlignment="1"/>
    <xf numFmtId="166" fontId="6" fillId="0" borderId="0" xfId="0" applyNumberFormat="1" applyFont="1" applyAlignment="1"/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74" fontId="1" fillId="0" borderId="0" xfId="0" applyNumberFormat="1" applyFont="1" applyAlignment="1"/>
    <xf numFmtId="10" fontId="1" fillId="0" borderId="0" xfId="0" applyNumberFormat="1" applyFont="1" applyAlignment="1"/>
    <xf numFmtId="0" fontId="50" fillId="0" borderId="0" xfId="0" applyFont="1" applyAlignment="1">
      <alignment horizontal="right"/>
    </xf>
    <xf numFmtId="0" fontId="10" fillId="24" borderId="0" xfId="0" applyFont="1" applyFill="1" applyAlignment="1">
      <alignment horizontal="left"/>
    </xf>
    <xf numFmtId="0" fontId="51" fillId="24" borderId="0" xfId="0" applyFont="1" applyFill="1" applyAlignment="1">
      <alignment horizontal="right"/>
    </xf>
    <xf numFmtId="0" fontId="3" fillId="0" borderId="1" xfId="0" applyFont="1" applyBorder="1" applyAlignment="1">
      <alignment horizontal="center"/>
    </xf>
    <xf numFmtId="0" fontId="51" fillId="24" borderId="0" xfId="0" applyFont="1" applyFill="1"/>
    <xf numFmtId="0" fontId="1" fillId="9" borderId="0" xfId="0" applyFont="1" applyFill="1" applyAlignment="1"/>
    <xf numFmtId="174" fontId="3" fillId="0" borderId="0" xfId="0" applyNumberFormat="1" applyFont="1" applyAlignment="1"/>
    <xf numFmtId="0" fontId="18" fillId="9" borderId="0" xfId="0" applyFont="1" applyFill="1" applyAlignment="1"/>
    <xf numFmtId="0" fontId="1" fillId="9" borderId="0" xfId="0" applyFont="1" applyFill="1" applyAlignment="1">
      <alignment horizontal="center"/>
    </xf>
    <xf numFmtId="4" fontId="1" fillId="0" borderId="0" xfId="0" applyNumberFormat="1" applyFont="1" applyAlignment="1"/>
    <xf numFmtId="0" fontId="3" fillId="9" borderId="0" xfId="0" applyFont="1" applyFill="1" applyAlignment="1">
      <alignment horizontal="center"/>
    </xf>
    <xf numFmtId="0" fontId="7" fillId="0" borderId="0" xfId="0" applyFont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5" fillId="24" borderId="0" xfId="0" applyFont="1" applyFill="1" applyAlignment="1"/>
    <xf numFmtId="175" fontId="6" fillId="0" borderId="4" xfId="0" applyNumberFormat="1" applyFont="1" applyBorder="1" applyAlignment="1"/>
    <xf numFmtId="1" fontId="1" fillId="0" borderId="0" xfId="0" applyNumberFormat="1" applyFont="1" applyAlignment="1"/>
    <xf numFmtId="3" fontId="6" fillId="0" borderId="4" xfId="0" applyNumberFormat="1" applyFont="1" applyBorder="1" applyAlignment="1"/>
    <xf numFmtId="0" fontId="18" fillId="24" borderId="0" xfId="0" applyFont="1" applyFill="1" applyAlignment="1">
      <alignment horizontal="center"/>
    </xf>
    <xf numFmtId="1" fontId="1" fillId="0" borderId="0" xfId="0" applyNumberFormat="1" applyFont="1"/>
    <xf numFmtId="0" fontId="53" fillId="0" borderId="12" xfId="0" applyFont="1" applyBorder="1" applyAlignment="1">
      <alignment horizontal="right"/>
    </xf>
    <xf numFmtId="0" fontId="3" fillId="24" borderId="0" xfId="0" applyFont="1" applyFill="1" applyAlignment="1">
      <alignment horizontal="center"/>
    </xf>
    <xf numFmtId="0" fontId="19" fillId="0" borderId="0" xfId="0" applyFont="1" applyAlignment="1"/>
    <xf numFmtId="0" fontId="1" fillId="23" borderId="0" xfId="0" applyFont="1" applyFill="1" applyAlignment="1"/>
    <xf numFmtId="176" fontId="53" fillId="0" borderId="4" xfId="0" applyNumberFormat="1" applyFont="1" applyBorder="1" applyAlignment="1">
      <alignment horizontal="center"/>
    </xf>
    <xf numFmtId="0" fontId="18" fillId="23" borderId="0" xfId="0" applyFont="1" applyFill="1" applyAlignment="1"/>
    <xf numFmtId="0" fontId="1" fillId="0" borderId="12" xfId="0" applyFont="1" applyBorder="1" applyAlignment="1"/>
    <xf numFmtId="0" fontId="18" fillId="23" borderId="0" xfId="0" applyFont="1" applyFill="1" applyAlignment="1">
      <alignment horizontal="center"/>
    </xf>
    <xf numFmtId="0" fontId="53" fillId="0" borderId="4" xfId="0" applyFont="1" applyBorder="1" applyAlignment="1">
      <alignment horizontal="center"/>
    </xf>
    <xf numFmtId="0" fontId="1" fillId="23" borderId="0" xfId="0" applyFont="1" applyFill="1" applyAlignment="1">
      <alignment horizontal="center"/>
    </xf>
    <xf numFmtId="0" fontId="3" fillId="23" borderId="0" xfId="0" applyFont="1" applyFill="1" applyAlignment="1">
      <alignment horizontal="center"/>
    </xf>
    <xf numFmtId="0" fontId="54" fillId="0" borderId="12" xfId="0" applyFont="1" applyBorder="1" applyAlignment="1"/>
    <xf numFmtId="176" fontId="53" fillId="0" borderId="4" xfId="0" applyNumberFormat="1" applyFont="1" applyBorder="1" applyAlignment="1">
      <alignment horizontal="center"/>
    </xf>
    <xf numFmtId="0" fontId="17" fillId="24" borderId="0" xfId="0" applyFont="1" applyFill="1" applyAlignment="1">
      <alignment horizontal="right"/>
    </xf>
    <xf numFmtId="0" fontId="1" fillId="24" borderId="14" xfId="0" applyFont="1" applyFill="1" applyBorder="1"/>
    <xf numFmtId="2" fontId="36" fillId="24" borderId="10" xfId="0" applyNumberFormat="1" applyFont="1" applyFill="1" applyBorder="1" applyAlignment="1">
      <alignment horizontal="center"/>
    </xf>
    <xf numFmtId="167" fontId="13" fillId="0" borderId="0" xfId="0" applyNumberFormat="1" applyFont="1" applyAlignment="1"/>
    <xf numFmtId="2" fontId="13" fillId="0" borderId="0" xfId="0" applyNumberFormat="1" applyFont="1" applyAlignment="1"/>
    <xf numFmtId="166" fontId="6" fillId="0" borderId="0" xfId="0" applyNumberFormat="1" applyFont="1" applyAlignment="1">
      <alignment horizontal="right"/>
    </xf>
    <xf numFmtId="0" fontId="18" fillId="0" borderId="0" xfId="0" applyFont="1"/>
    <xf numFmtId="0" fontId="18" fillId="26" borderId="0" xfId="0" applyFont="1" applyFill="1" applyAlignment="1"/>
    <xf numFmtId="0" fontId="6" fillId="0" borderId="0" xfId="0" applyFont="1" applyAlignment="1"/>
    <xf numFmtId="0" fontId="18" fillId="26" borderId="0" xfId="0" applyFont="1" applyFill="1" applyAlignment="1">
      <alignment horizontal="center"/>
    </xf>
    <xf numFmtId="169" fontId="16" fillId="26" borderId="0" xfId="0" applyNumberFormat="1" applyFont="1" applyFill="1" applyAlignment="1">
      <alignment horizontal="center"/>
    </xf>
    <xf numFmtId="0" fontId="16" fillId="26" borderId="0" xfId="0" applyFont="1" applyFill="1" applyAlignment="1">
      <alignment horizontal="center"/>
    </xf>
    <xf numFmtId="0" fontId="1" fillId="26" borderId="0" xfId="0" applyFont="1" applyFill="1" applyAlignment="1"/>
    <xf numFmtId="0" fontId="1" fillId="26" borderId="0" xfId="0" applyFont="1" applyFill="1" applyAlignment="1">
      <alignment horizontal="center"/>
    </xf>
    <xf numFmtId="0" fontId="3" fillId="26" borderId="0" xfId="0" applyFont="1" applyFill="1" applyAlignment="1">
      <alignment horizontal="center"/>
    </xf>
    <xf numFmtId="169" fontId="55" fillId="0" borderId="8" xfId="0" applyNumberFormat="1" applyFont="1" applyBorder="1" applyAlignment="1">
      <alignment horizontal="center"/>
    </xf>
    <xf numFmtId="0" fontId="5" fillId="9" borderId="0" xfId="0" applyFont="1" applyFill="1" applyAlignment="1"/>
    <xf numFmtId="0" fontId="18" fillId="24" borderId="0" xfId="0" applyFont="1" applyFill="1" applyAlignment="1"/>
    <xf numFmtId="0" fontId="1" fillId="5" borderId="0" xfId="0" applyFont="1" applyFill="1" applyAlignment="1"/>
    <xf numFmtId="0" fontId="0" fillId="0" borderId="0" xfId="0" applyFont="1" applyAlignment="1"/>
    <xf numFmtId="0" fontId="8" fillId="0" borderId="0" xfId="0" applyFont="1" applyAlignment="1">
      <alignment vertical="top"/>
    </xf>
    <xf numFmtId="0" fontId="1" fillId="0" borderId="0" xfId="0" applyFont="1" applyAlignment="1"/>
    <xf numFmtId="0" fontId="9" fillId="0" borderId="0" xfId="0" applyFont="1" applyAlignment="1">
      <alignment horizontal="right"/>
    </xf>
    <xf numFmtId="0" fontId="15" fillId="10" borderId="0" xfId="0" applyFont="1" applyFill="1" applyAlignment="1">
      <alignment horizontal="center" vertical="center"/>
    </xf>
    <xf numFmtId="0" fontId="1" fillId="0" borderId="7" xfId="0" applyFont="1" applyBorder="1"/>
    <xf numFmtId="0" fontId="32" fillId="15" borderId="0" xfId="0" applyFont="1" applyFill="1" applyAlignment="1">
      <alignment horizontal="left" vertical="center"/>
    </xf>
    <xf numFmtId="0" fontId="27" fillId="15" borderId="0" xfId="0" applyFont="1" applyFill="1" applyAlignment="1">
      <alignment horizontal="left" vertical="center"/>
    </xf>
    <xf numFmtId="0" fontId="3" fillId="16" borderId="0" xfId="0" applyFont="1" applyFill="1" applyAlignment="1">
      <alignment horizontal="right" vertical="center"/>
    </xf>
    <xf numFmtId="0" fontId="15" fillId="15" borderId="15" xfId="0" applyFont="1" applyFill="1" applyBorder="1" applyAlignment="1">
      <alignment horizontal="center" vertical="center"/>
    </xf>
    <xf numFmtId="0" fontId="1" fillId="0" borderId="16" xfId="0" applyFont="1" applyBorder="1"/>
    <xf numFmtId="0" fontId="3" fillId="16" borderId="0" xfId="0" applyFont="1" applyFill="1" applyAlignment="1">
      <alignment horizontal="center"/>
    </xf>
    <xf numFmtId="0" fontId="1" fillId="21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4" xfId="0" applyFont="1" applyBorder="1"/>
    <xf numFmtId="0" fontId="1" fillId="0" borderId="24" xfId="0" applyFont="1" applyBorder="1"/>
    <xf numFmtId="0" fontId="33" fillId="19" borderId="22" xfId="0" applyFont="1" applyFill="1" applyBorder="1" applyAlignment="1">
      <alignment horizontal="center" vertical="center"/>
    </xf>
    <xf numFmtId="0" fontId="1" fillId="0" borderId="25" xfId="0" applyFont="1" applyBorder="1"/>
    <xf numFmtId="0" fontId="1" fillId="0" borderId="8" xfId="0" applyFont="1" applyBorder="1"/>
    <xf numFmtId="0" fontId="1" fillId="0" borderId="12" xfId="0" applyFont="1" applyBorder="1"/>
    <xf numFmtId="0" fontId="55" fillId="0" borderId="6" xfId="0" applyFont="1" applyBorder="1" applyAlignment="1">
      <alignment horizontal="right"/>
    </xf>
    <xf numFmtId="0" fontId="41" fillId="25" borderId="0" xfId="0" applyFont="1" applyFill="1" applyAlignment="1"/>
    <xf numFmtId="0" fontId="52" fillId="0" borderId="6" xfId="0" applyFont="1" applyBorder="1" applyAlignment="1">
      <alignment horizontal="center"/>
    </xf>
    <xf numFmtId="17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6" fillId="4" borderId="0" xfId="0" applyFont="1" applyFill="1" applyAlignment="1"/>
    <xf numFmtId="0" fontId="1" fillId="8" borderId="5" xfId="0" applyFont="1" applyFill="1" applyBorder="1" applyAlignment="1">
      <alignment horizontal="center" wrapText="1"/>
    </xf>
    <xf numFmtId="0" fontId="15" fillId="22" borderId="0" xfId="0" applyFont="1" applyFill="1" applyAlignment="1">
      <alignment horizontal="center" wrapText="1"/>
    </xf>
    <xf numFmtId="0" fontId="27" fillId="19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/>
    <xf numFmtId="2" fontId="3" fillId="0" borderId="1" xfId="0" applyNumberFormat="1" applyFont="1" applyBorder="1" applyAlignment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56</xdr:row>
      <xdr:rowOff>47625</xdr:rowOff>
    </xdr:from>
    <xdr:to>
      <xdr:col>2</xdr:col>
      <xdr:colOff>3124200</xdr:colOff>
      <xdr:row>72</xdr:row>
      <xdr:rowOff>0</xdr:rowOff>
    </xdr:to>
    <xdr:grpSp>
      <xdr:nvGrpSpPr>
        <xdr:cNvPr id="2" name="Shape 2" title="Drawing"/>
        <xdr:cNvGrpSpPr/>
      </xdr:nvGrpSpPr>
      <xdr:grpSpPr>
        <a:xfrm>
          <a:off x="8429625" y="10458450"/>
          <a:ext cx="2781300" cy="2609850"/>
          <a:chOff x="1985962" y="328675"/>
          <a:chExt cx="2757563" cy="3167000"/>
        </a:xfrm>
      </xdr:grpSpPr>
      <xdr:sp macro="" textlink="">
        <xdr:nvSpPr>
          <xdr:cNvPr id="3" name="Shape 3"/>
          <xdr:cNvSpPr/>
        </xdr:nvSpPr>
        <xdr:spPr>
          <a:xfrm>
            <a:off x="2924175" y="971549"/>
            <a:ext cx="219075" cy="1895482"/>
          </a:xfrm>
          <a:custGeom>
            <a:avLst/>
            <a:gdLst/>
            <a:ahLst/>
            <a:cxnLst/>
            <a:rect l="0" t="0" r="0" b="0"/>
            <a:pathLst>
              <a:path w="3810" h="41148" extrusionOk="0">
                <a:moveTo>
                  <a:pt x="0" y="0"/>
                </a:moveTo>
                <a:cubicBezTo>
                  <a:pt x="635" y="3238"/>
                  <a:pt x="3810" y="12573"/>
                  <a:pt x="3810" y="19431"/>
                </a:cubicBezTo>
                <a:cubicBezTo>
                  <a:pt x="3810" y="26289"/>
                  <a:pt x="635" y="37528"/>
                  <a:pt x="0" y="41148"/>
                </a:cubicBezTo>
              </a:path>
            </a:pathLst>
          </a:custGeom>
          <a:noFill/>
          <a:ln w="76200" cap="flat" cmpd="sng">
            <a:solidFill>
              <a:srgbClr val="6FA8DC"/>
            </a:solidFill>
            <a:prstDash val="solid"/>
            <a:round/>
            <a:headEnd type="none" w="lg" len="lg"/>
            <a:tailEnd type="none" w="lg" len="lg"/>
          </a:ln>
        </xdr:spPr>
      </xdr:sp>
      <xdr:sp macro="" textlink="">
        <xdr:nvSpPr>
          <xdr:cNvPr id="4" name="Shape 4"/>
          <xdr:cNvSpPr/>
        </xdr:nvSpPr>
        <xdr:spPr>
          <a:xfrm>
            <a:off x="2847975" y="1004875"/>
            <a:ext cx="219075" cy="1828822"/>
          </a:xfrm>
          <a:custGeom>
            <a:avLst/>
            <a:gdLst/>
            <a:ahLst/>
            <a:cxnLst/>
            <a:rect l="0" t="0" r="0" b="0"/>
            <a:pathLst>
              <a:path w="3810" h="41148" extrusionOk="0">
                <a:moveTo>
                  <a:pt x="0" y="0"/>
                </a:moveTo>
                <a:cubicBezTo>
                  <a:pt x="635" y="3238"/>
                  <a:pt x="3810" y="12573"/>
                  <a:pt x="3810" y="19431"/>
                </a:cubicBezTo>
                <a:cubicBezTo>
                  <a:pt x="3810" y="26289"/>
                  <a:pt x="635" y="37528"/>
                  <a:pt x="0" y="41148"/>
                </a:cubicBezTo>
              </a:path>
            </a:pathLst>
          </a:custGeom>
          <a:noFill/>
          <a:ln w="76200" cap="flat" cmpd="sng">
            <a:solidFill>
              <a:srgbClr val="0000FF"/>
            </a:solidFill>
            <a:prstDash val="dash"/>
            <a:round/>
            <a:headEnd type="none" w="lg" len="lg"/>
            <a:tailEnd type="none" w="lg" len="lg"/>
          </a:ln>
        </xdr:spPr>
      </xdr:sp>
      <xdr:sp macro="" textlink="">
        <xdr:nvSpPr>
          <xdr:cNvPr id="5" name="Shape 5"/>
          <xdr:cNvSpPr/>
        </xdr:nvSpPr>
        <xdr:spPr>
          <a:xfrm>
            <a:off x="3067050" y="914399"/>
            <a:ext cx="219075" cy="2009771"/>
          </a:xfrm>
          <a:custGeom>
            <a:avLst/>
            <a:gdLst/>
            <a:ahLst/>
            <a:cxnLst/>
            <a:rect l="0" t="0" r="0" b="0"/>
            <a:pathLst>
              <a:path w="3810" h="41148" extrusionOk="0">
                <a:moveTo>
                  <a:pt x="0" y="0"/>
                </a:moveTo>
                <a:cubicBezTo>
                  <a:pt x="635" y="3238"/>
                  <a:pt x="3810" y="12573"/>
                  <a:pt x="3810" y="19431"/>
                </a:cubicBezTo>
                <a:cubicBezTo>
                  <a:pt x="3810" y="26289"/>
                  <a:pt x="635" y="37528"/>
                  <a:pt x="0" y="41148"/>
                </a:cubicBezTo>
              </a:path>
            </a:pathLst>
          </a:custGeom>
          <a:noFill/>
          <a:ln w="152400" cap="flat" cmpd="sng">
            <a:solidFill>
              <a:srgbClr val="4C1130"/>
            </a:solidFill>
            <a:prstDash val="solid"/>
            <a:round/>
            <a:headEnd type="none" w="lg" len="lg"/>
            <a:tailEnd type="none" w="lg" len="lg"/>
          </a:ln>
        </xdr:spPr>
      </xdr:sp>
      <xdr:sp macro="" textlink="">
        <xdr:nvSpPr>
          <xdr:cNvPr id="6" name="Shape 6"/>
          <xdr:cNvSpPr txBox="1"/>
        </xdr:nvSpPr>
        <xdr:spPr>
          <a:xfrm>
            <a:off x="2076375" y="1581150"/>
            <a:ext cx="847800" cy="533400"/>
          </a:xfrm>
          <a:prstGeom prst="rect">
            <a:avLst/>
          </a:prstGeom>
          <a:noFill/>
          <a:ln>
            <a:noFill/>
          </a:ln>
        </xdr:spPr>
        <xdr:txBody>
          <a:bodyPr lIns="91425" tIns="91425" rIns="91425" bIns="91425" anchor="ctr" anchorCtr="0">
            <a:noAutofit/>
          </a:bodyPr>
          <a:lstStyle/>
          <a:p>
            <a:pPr lvl="0" algn="ctr">
              <a:spcBef>
                <a:spcPts val="0"/>
              </a:spcBef>
              <a:buNone/>
            </a:pPr>
            <a:r>
              <a:rPr lang="en-US" sz="1400" b="1">
                <a:solidFill>
                  <a:srgbClr val="0000FF"/>
                </a:solidFill>
              </a:rPr>
              <a:t>Si-111 wafers</a:t>
            </a:r>
          </a:p>
        </xdr:txBody>
      </xdr:sp>
      <xdr:sp macro="" textlink="">
        <xdr:nvSpPr>
          <xdr:cNvPr id="7" name="Shape 7"/>
          <xdr:cNvSpPr txBox="1"/>
        </xdr:nvSpPr>
        <xdr:spPr>
          <a:xfrm>
            <a:off x="2193116" y="328675"/>
            <a:ext cx="1681200" cy="676200"/>
          </a:xfrm>
          <a:prstGeom prst="rect">
            <a:avLst/>
          </a:prstGeom>
          <a:noFill/>
          <a:ln>
            <a:noFill/>
          </a:ln>
        </xdr:spPr>
        <xdr:txBody>
          <a:bodyPr lIns="91425" tIns="91425" rIns="91425" bIns="91425" anchor="ctr" anchorCtr="0">
            <a:noAutofit/>
          </a:bodyPr>
          <a:lstStyle/>
          <a:p>
            <a:pPr lvl="0" algn="ctr" rtl="0">
              <a:spcBef>
                <a:spcPts val="0"/>
              </a:spcBef>
              <a:buNone/>
            </a:pPr>
            <a:r>
              <a:rPr lang="en-US" sz="1400" b="1">
                <a:solidFill>
                  <a:srgbClr val="6D9EEB"/>
                </a:solidFill>
              </a:rPr>
              <a:t>B4C, </a:t>
            </a:r>
          </a:p>
          <a:p>
            <a:pPr lvl="0" algn="l">
              <a:spcBef>
                <a:spcPts val="0"/>
              </a:spcBef>
              <a:buNone/>
            </a:pPr>
            <a:r>
              <a:rPr lang="en-US" sz="1400" b="1">
                <a:solidFill>
                  <a:srgbClr val="6D9EEB"/>
                </a:solidFill>
              </a:rPr>
              <a:t>neutron absorber</a:t>
            </a:r>
          </a:p>
        </xdr:txBody>
      </xdr:sp>
      <xdr:sp macro="" textlink="">
        <xdr:nvSpPr>
          <xdr:cNvPr id="8" name="Shape 8"/>
          <xdr:cNvSpPr txBox="1"/>
        </xdr:nvSpPr>
        <xdr:spPr>
          <a:xfrm>
            <a:off x="3286125" y="1652587"/>
            <a:ext cx="1457400" cy="533400"/>
          </a:xfrm>
          <a:prstGeom prst="rect">
            <a:avLst/>
          </a:prstGeom>
          <a:noFill/>
          <a:ln>
            <a:noFill/>
          </a:ln>
        </xdr:spPr>
        <xdr:txBody>
          <a:bodyPr lIns="91425" tIns="91425" rIns="91425" bIns="91425" anchor="ctr" anchorCtr="0">
            <a:noAutofit/>
          </a:bodyPr>
          <a:lstStyle/>
          <a:p>
            <a:pPr lvl="0" algn="ctr" rtl="0">
              <a:spcBef>
                <a:spcPts val="0"/>
              </a:spcBef>
              <a:buNone/>
            </a:pPr>
            <a:r>
              <a:rPr lang="en-US" sz="1400" b="1">
                <a:solidFill>
                  <a:srgbClr val="741B47"/>
                </a:solidFill>
              </a:rPr>
              <a:t>Aluminum plate</a:t>
            </a:r>
          </a:p>
        </xdr:txBody>
      </xdr:sp>
      <xdr:sp macro="" textlink="">
        <xdr:nvSpPr>
          <xdr:cNvPr id="9" name="Shape 9"/>
          <xdr:cNvSpPr txBox="1"/>
        </xdr:nvSpPr>
        <xdr:spPr>
          <a:xfrm>
            <a:off x="1985962" y="3076575"/>
            <a:ext cx="2095500" cy="419100"/>
          </a:xfrm>
          <a:prstGeom prst="rect">
            <a:avLst/>
          </a:prstGeom>
          <a:noFill/>
          <a:ln>
            <a:noFill/>
          </a:ln>
        </xdr:spPr>
        <xdr:txBody>
          <a:bodyPr lIns="91425" tIns="91425" rIns="91425" bIns="91425" anchor="ctr" anchorCtr="0">
            <a:noAutofit/>
          </a:bodyPr>
          <a:lstStyle/>
          <a:p>
            <a:pPr lvl="0" algn="ctr" rtl="0">
              <a:spcBef>
                <a:spcPts val="0"/>
              </a:spcBef>
              <a:buNone/>
            </a:pPr>
            <a:r>
              <a:rPr lang="en-US" sz="1100" i="1"/>
              <a:t>Analyzer layout</a:t>
            </a:r>
          </a:p>
        </xdr:txBody>
      </xdr:sp>
    </xdr:grpSp>
    <xdr:clientData fLocksWithSheet="0"/>
  </xdr:twoCellAnchor>
  <xdr:twoCellAnchor>
    <xdr:from>
      <xdr:col>0</xdr:col>
      <xdr:colOff>0</xdr:colOff>
      <xdr:row>0</xdr:row>
      <xdr:rowOff>0</xdr:rowOff>
    </xdr:from>
    <xdr:to>
      <xdr:col>2</xdr:col>
      <xdr:colOff>1438275</xdr:colOff>
      <xdr:row>52</xdr:row>
      <xdr:rowOff>19050</xdr:rowOff>
    </xdr:to>
    <xdr:sp macro="" textlink="">
      <xdr:nvSpPr>
        <xdr:cNvPr id="4104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219075</xdr:colOff>
      <xdr:row>17</xdr:row>
      <xdr:rowOff>0</xdr:rowOff>
    </xdr:to>
    <xdr:sp macro="" textlink="">
      <xdr:nvSpPr>
        <xdr:cNvPr id="7173" name="Rectangle 5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238125</xdr:colOff>
      <xdr:row>54</xdr:row>
      <xdr:rowOff>85725</xdr:rowOff>
    </xdr:to>
    <xdr:sp macro="" textlink="">
      <xdr:nvSpPr>
        <xdr:cNvPr id="6148" name="Rectangle 4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428625</xdr:colOff>
      <xdr:row>18</xdr:row>
      <xdr:rowOff>123825</xdr:rowOff>
    </xdr:to>
    <xdr:sp macro="" textlink="">
      <xdr:nvSpPr>
        <xdr:cNvPr id="5135" name="Rectangle 15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pane ySplit="1" topLeftCell="A2" activePane="bottomLeft" state="frozen"/>
      <selection pane="bottomLeft" activeCell="M50" sqref="M50"/>
    </sheetView>
  </sheetViews>
  <sheetFormatPr baseColWidth="10" defaultColWidth="14.42578125" defaultRowHeight="15.75" customHeight="1"/>
  <cols>
    <col min="1" max="1" width="21.5703125" customWidth="1"/>
    <col min="2" max="2" width="31.42578125" customWidth="1"/>
  </cols>
  <sheetData>
    <row r="1" spans="1:10" ht="15.75" customHeight="1">
      <c r="A1" t="s">
        <v>0</v>
      </c>
      <c r="B1" s="2" t="s">
        <v>1</v>
      </c>
    </row>
    <row r="2" spans="1:10" ht="15.75" customHeight="1">
      <c r="A2" s="156" t="s">
        <v>2</v>
      </c>
    </row>
    <row r="4" spans="1:10" ht="15.75" customHeight="1">
      <c r="B4" s="4" t="s">
        <v>3</v>
      </c>
    </row>
    <row r="5" spans="1:10" ht="26.25" customHeight="1">
      <c r="B5" s="5"/>
      <c r="C5" s="6" t="s">
        <v>4</v>
      </c>
      <c r="D5" s="7" t="s">
        <v>5</v>
      </c>
      <c r="E5" s="6" t="s">
        <v>6</v>
      </c>
      <c r="F5" s="6" t="s">
        <v>7</v>
      </c>
      <c r="G5" s="9" t="s">
        <v>8</v>
      </c>
      <c r="H5" s="6" t="s">
        <v>9</v>
      </c>
      <c r="I5" s="6" t="s">
        <v>10</v>
      </c>
      <c r="J5" s="6" t="s">
        <v>11</v>
      </c>
    </row>
    <row r="6" spans="1:10" ht="15.75" customHeight="1">
      <c r="B6" s="12" t="s">
        <v>12</v>
      </c>
      <c r="C6" s="13">
        <v>0</v>
      </c>
      <c r="D6" s="13">
        <v>200</v>
      </c>
      <c r="E6" s="13">
        <v>809</v>
      </c>
      <c r="F6" s="13">
        <v>100</v>
      </c>
      <c r="G6" s="13">
        <v>0</v>
      </c>
      <c r="H6" s="15">
        <f t="shared" ref="H6:H19" si="0">C6+D6+F6</f>
        <v>300</v>
      </c>
      <c r="I6" s="15">
        <f t="shared" ref="I6:I19" si="1">E6+G6</f>
        <v>809</v>
      </c>
      <c r="J6" s="15">
        <f t="shared" ref="J6:J10" si="2">SUM(C6:G6)</f>
        <v>1109</v>
      </c>
    </row>
    <row r="7" spans="1:10" ht="15.75" customHeight="1">
      <c r="B7" s="12" t="s">
        <v>16</v>
      </c>
      <c r="C7" s="13">
        <v>0</v>
      </c>
      <c r="D7" s="13">
        <f>100+100</f>
        <v>200</v>
      </c>
      <c r="E7" s="13">
        <f>200+660</f>
        <v>860</v>
      </c>
      <c r="F7" s="13">
        <v>20</v>
      </c>
      <c r="G7" s="13">
        <v>0</v>
      </c>
      <c r="H7" s="15">
        <f t="shared" si="0"/>
        <v>220</v>
      </c>
      <c r="I7" s="15">
        <f t="shared" si="1"/>
        <v>860</v>
      </c>
      <c r="J7" s="15">
        <f t="shared" si="2"/>
        <v>1080</v>
      </c>
    </row>
    <row r="8" spans="1:10" ht="15.75" customHeight="1">
      <c r="B8" s="7" t="s">
        <v>18</v>
      </c>
      <c r="C8" s="13">
        <v>0</v>
      </c>
      <c r="D8" s="13">
        <v>0</v>
      </c>
      <c r="E8" s="13">
        <f>2666+704+96+92</f>
        <v>3558</v>
      </c>
      <c r="F8" s="13">
        <v>100</v>
      </c>
      <c r="G8" s="13">
        <v>0</v>
      </c>
      <c r="H8" s="15">
        <f t="shared" si="0"/>
        <v>100</v>
      </c>
      <c r="I8" s="15">
        <f t="shared" si="1"/>
        <v>3558</v>
      </c>
      <c r="J8" s="15">
        <f t="shared" si="2"/>
        <v>3658</v>
      </c>
    </row>
    <row r="9" spans="1:10" ht="15.75" customHeight="1">
      <c r="B9" s="7" t="s">
        <v>17</v>
      </c>
      <c r="C9" s="13">
        <v>0</v>
      </c>
      <c r="D9" s="13">
        <v>0</v>
      </c>
      <c r="E9" s="13">
        <v>1100.75</v>
      </c>
      <c r="F9" s="13">
        <f>84.7-19.14</f>
        <v>65.56</v>
      </c>
      <c r="G9" s="13">
        <v>19.14</v>
      </c>
      <c r="H9" s="15">
        <f t="shared" si="0"/>
        <v>65.56</v>
      </c>
      <c r="I9" s="15">
        <f t="shared" si="1"/>
        <v>1119.8900000000001</v>
      </c>
      <c r="J9" s="15">
        <f t="shared" si="2"/>
        <v>1185.45</v>
      </c>
    </row>
    <row r="10" spans="1:10" ht="15.75" customHeight="1">
      <c r="B10" s="7" t="s">
        <v>20</v>
      </c>
      <c r="C10" s="13">
        <v>0</v>
      </c>
      <c r="D10" s="13">
        <v>0</v>
      </c>
      <c r="E10" s="13">
        <v>0</v>
      </c>
      <c r="F10" s="13">
        <v>300</v>
      </c>
      <c r="G10" s="13">
        <v>808</v>
      </c>
      <c r="H10" s="15">
        <f t="shared" si="0"/>
        <v>300</v>
      </c>
      <c r="I10" s="15">
        <f t="shared" si="1"/>
        <v>808</v>
      </c>
      <c r="J10" s="15">
        <f t="shared" si="2"/>
        <v>1108</v>
      </c>
    </row>
    <row r="11" spans="1:10" ht="15.75" customHeight="1">
      <c r="B11" s="20" t="s">
        <v>21</v>
      </c>
      <c r="C11" s="21">
        <v>0</v>
      </c>
      <c r="D11" s="21">
        <v>0</v>
      </c>
      <c r="E11" s="15">
        <v>1024.95</v>
      </c>
      <c r="F11" s="13">
        <v>76.650000000000006</v>
      </c>
      <c r="G11" s="15">
        <v>0</v>
      </c>
      <c r="H11" s="15">
        <f t="shared" si="0"/>
        <v>76.650000000000006</v>
      </c>
      <c r="I11" s="15">
        <f t="shared" si="1"/>
        <v>1024.95</v>
      </c>
      <c r="J11" s="15">
        <f>SUM(H11:I11)</f>
        <v>1101.6000000000001</v>
      </c>
    </row>
    <row r="12" spans="1:10" ht="15.75" customHeight="1">
      <c r="B12" s="7" t="s">
        <v>22</v>
      </c>
      <c r="C12" s="2">
        <v>0</v>
      </c>
      <c r="D12" s="13">
        <v>62.1</v>
      </c>
      <c r="E12" s="13">
        <v>39.494</v>
      </c>
      <c r="F12" s="13">
        <v>5.9950000000000001</v>
      </c>
      <c r="G12" s="13">
        <v>33.984000000000002</v>
      </c>
      <c r="H12" s="15">
        <f t="shared" si="0"/>
        <v>68.094999999999999</v>
      </c>
      <c r="I12" s="15">
        <f t="shared" si="1"/>
        <v>73.478000000000009</v>
      </c>
      <c r="J12" s="15">
        <f t="shared" ref="J12:J19" si="3">SUM(C12:G12)</f>
        <v>141.57300000000001</v>
      </c>
    </row>
    <row r="13" spans="1:10" ht="15.75" customHeight="1">
      <c r="A13" s="286" t="s">
        <v>23</v>
      </c>
      <c r="B13" s="7" t="s">
        <v>24</v>
      </c>
      <c r="C13" s="13">
        <v>0</v>
      </c>
      <c r="D13" s="13">
        <v>300</v>
      </c>
      <c r="E13" s="13">
        <v>890</v>
      </c>
      <c r="F13" s="13">
        <v>100</v>
      </c>
      <c r="G13" s="13">
        <v>0</v>
      </c>
      <c r="H13" s="15">
        <f t="shared" si="0"/>
        <v>400</v>
      </c>
      <c r="I13" s="15">
        <f t="shared" si="1"/>
        <v>890</v>
      </c>
      <c r="J13" s="15">
        <f t="shared" si="3"/>
        <v>1290</v>
      </c>
    </row>
    <row r="14" spans="1:10" ht="15.75" customHeight="1">
      <c r="A14" s="287"/>
      <c r="B14" s="7" t="s">
        <v>25</v>
      </c>
      <c r="C14" s="13">
        <v>0</v>
      </c>
      <c r="D14" s="13">
        <v>50</v>
      </c>
      <c r="E14" s="13">
        <v>105</v>
      </c>
      <c r="F14" s="13">
        <v>20</v>
      </c>
      <c r="G14" s="13">
        <v>0</v>
      </c>
      <c r="H14" s="15">
        <f t="shared" si="0"/>
        <v>70</v>
      </c>
      <c r="I14" s="15">
        <f t="shared" si="1"/>
        <v>105</v>
      </c>
      <c r="J14" s="15">
        <f t="shared" si="3"/>
        <v>175</v>
      </c>
    </row>
    <row r="15" spans="1:10" ht="15.75" customHeight="1">
      <c r="A15" s="287"/>
      <c r="B15" s="7" t="s">
        <v>26</v>
      </c>
      <c r="C15" s="13">
        <v>0</v>
      </c>
      <c r="D15" s="13">
        <v>0</v>
      </c>
      <c r="E15" s="13">
        <v>450</v>
      </c>
      <c r="F15" s="13">
        <v>20</v>
      </c>
      <c r="G15" s="13">
        <v>0</v>
      </c>
      <c r="H15" s="15">
        <f t="shared" si="0"/>
        <v>20</v>
      </c>
      <c r="I15" s="15">
        <f t="shared" si="1"/>
        <v>450</v>
      </c>
      <c r="J15" s="15">
        <f t="shared" si="3"/>
        <v>470</v>
      </c>
    </row>
    <row r="16" spans="1:10" ht="15.75" customHeight="1">
      <c r="A16" s="287"/>
      <c r="B16" s="7" t="s">
        <v>27</v>
      </c>
      <c r="C16" s="13">
        <v>0</v>
      </c>
      <c r="D16" s="13">
        <v>50</v>
      </c>
      <c r="E16" s="13">
        <v>100</v>
      </c>
      <c r="F16" s="13">
        <v>20</v>
      </c>
      <c r="G16" s="13">
        <v>0</v>
      </c>
      <c r="H16" s="15">
        <f t="shared" si="0"/>
        <v>70</v>
      </c>
      <c r="I16" s="15">
        <f t="shared" si="1"/>
        <v>100</v>
      </c>
      <c r="J16" s="15">
        <f t="shared" si="3"/>
        <v>170</v>
      </c>
    </row>
    <row r="17" spans="1:10" ht="15.75" customHeight="1">
      <c r="A17" s="23"/>
      <c r="B17" s="7" t="s">
        <v>19</v>
      </c>
      <c r="C17" s="13">
        <v>0</v>
      </c>
      <c r="D17" s="13">
        <v>0</v>
      </c>
      <c r="E17" s="13">
        <v>60</v>
      </c>
      <c r="F17" s="13">
        <v>10</v>
      </c>
      <c r="G17" s="13">
        <v>0</v>
      </c>
      <c r="H17" s="15">
        <f t="shared" si="0"/>
        <v>10</v>
      </c>
      <c r="I17" s="15">
        <f t="shared" si="1"/>
        <v>60</v>
      </c>
      <c r="J17" s="15">
        <f t="shared" si="3"/>
        <v>70</v>
      </c>
    </row>
    <row r="18" spans="1:10" ht="15.75" customHeight="1">
      <c r="A18" s="23"/>
      <c r="B18" s="7" t="s">
        <v>28</v>
      </c>
      <c r="C18" s="13">
        <v>0</v>
      </c>
      <c r="D18" s="13">
        <v>300</v>
      </c>
      <c r="E18" s="13">
        <v>940</v>
      </c>
      <c r="F18" s="13">
        <v>100</v>
      </c>
      <c r="G18" s="13">
        <v>0</v>
      </c>
      <c r="H18" s="15">
        <f t="shared" si="0"/>
        <v>400</v>
      </c>
      <c r="I18" s="15">
        <f t="shared" si="1"/>
        <v>940</v>
      </c>
      <c r="J18" s="15">
        <f t="shared" si="3"/>
        <v>1340</v>
      </c>
    </row>
    <row r="19" spans="1:10" ht="15.75" customHeight="1">
      <c r="B19" s="7" t="s">
        <v>29</v>
      </c>
      <c r="C19" s="13">
        <v>0</v>
      </c>
      <c r="D19" s="13">
        <v>0</v>
      </c>
      <c r="E19" s="13">
        <f>5+120+30+10+80+20+20+150+172+30</f>
        <v>637</v>
      </c>
      <c r="F19" s="13">
        <v>0</v>
      </c>
      <c r="G19" s="13">
        <v>0</v>
      </c>
      <c r="H19" s="15">
        <f t="shared" si="0"/>
        <v>0</v>
      </c>
      <c r="I19" s="15">
        <f t="shared" si="1"/>
        <v>637</v>
      </c>
      <c r="J19" s="15">
        <f t="shared" si="3"/>
        <v>637</v>
      </c>
    </row>
    <row r="20" spans="1:10" ht="15.75" customHeight="1">
      <c r="B20" s="7" t="s">
        <v>30</v>
      </c>
      <c r="C20" s="21">
        <v>480</v>
      </c>
      <c r="D20" s="13">
        <v>600</v>
      </c>
      <c r="E20" s="13">
        <v>480</v>
      </c>
      <c r="F20" s="13">
        <v>480</v>
      </c>
      <c r="G20" s="13">
        <v>480</v>
      </c>
      <c r="H20" s="15">
        <f>SUM(C20:G20)</f>
        <v>2520</v>
      </c>
      <c r="I20" s="15"/>
      <c r="J20" s="15">
        <f>H20</f>
        <v>2520</v>
      </c>
    </row>
    <row r="21" spans="1:10" ht="15.75" customHeight="1">
      <c r="B21" s="7" t="s">
        <v>31</v>
      </c>
      <c r="C21" s="13">
        <f t="shared" ref="C21:G21" si="4">0.1*SUM(C6:C19)</f>
        <v>0</v>
      </c>
      <c r="D21" s="13">
        <f t="shared" si="4"/>
        <v>116.21</v>
      </c>
      <c r="E21" s="13">
        <f t="shared" si="4"/>
        <v>1057.4194</v>
      </c>
      <c r="F21" s="13">
        <f t="shared" si="4"/>
        <v>93.820499999999996</v>
      </c>
      <c r="G21" s="13">
        <f t="shared" si="4"/>
        <v>86.112400000000008</v>
      </c>
      <c r="H21" s="15">
        <f t="shared" ref="H21:H22" si="5">C21+D21+F21</f>
        <v>210.03049999999999</v>
      </c>
      <c r="I21" s="13">
        <f>0.1*SUM(I6:I19)</f>
        <v>1143.5318</v>
      </c>
      <c r="J21" s="13">
        <f>0.1*SUM(J6:J20)</f>
        <v>1605.5623000000001</v>
      </c>
    </row>
    <row r="22" spans="1:10" ht="15.75" customHeight="1">
      <c r="B22" s="7" t="s">
        <v>13</v>
      </c>
      <c r="C22" s="13">
        <f t="shared" ref="C22:G22" si="6">SUM(C6:C21)</f>
        <v>480</v>
      </c>
      <c r="D22" s="13">
        <f t="shared" si="6"/>
        <v>1878.31</v>
      </c>
      <c r="E22" s="13">
        <f t="shared" si="6"/>
        <v>12111.6134</v>
      </c>
      <c r="F22" s="13">
        <f t="shared" si="6"/>
        <v>1512.0255</v>
      </c>
      <c r="G22" s="13">
        <f t="shared" si="6"/>
        <v>1427.2364</v>
      </c>
      <c r="H22" s="15">
        <f t="shared" si="5"/>
        <v>3870.3355000000001</v>
      </c>
      <c r="I22" s="13">
        <f t="shared" ref="I22:J22" si="7">SUM(I6:I21)</f>
        <v>12578.8498</v>
      </c>
      <c r="J22" s="320">
        <f t="shared" si="7"/>
        <v>17661.185300000001</v>
      </c>
    </row>
    <row r="23" spans="1:10" ht="15.75" customHeight="1">
      <c r="B23" s="13" t="s">
        <v>32</v>
      </c>
      <c r="C23" s="15"/>
      <c r="D23" s="15"/>
      <c r="E23" s="15"/>
      <c r="F23" s="15"/>
      <c r="G23" s="15"/>
      <c r="H23" s="15"/>
      <c r="I23" s="15"/>
      <c r="J23" s="15"/>
    </row>
    <row r="24" spans="1:10" ht="15.75" customHeight="1">
      <c r="B24" s="7" t="s">
        <v>33</v>
      </c>
      <c r="C24" s="34">
        <v>4.0999999999999996</v>
      </c>
      <c r="D24" s="34">
        <v>15.65</v>
      </c>
      <c r="E24" s="34">
        <v>7.6</v>
      </c>
      <c r="F24" s="34">
        <v>6.1</v>
      </c>
      <c r="G24" s="34">
        <v>2.7</v>
      </c>
      <c r="H24" s="15">
        <f>SUM(C24:G24)</f>
        <v>36.150000000000006</v>
      </c>
      <c r="I24" s="15"/>
      <c r="J24" s="35" t="s">
        <v>34</v>
      </c>
    </row>
    <row r="26" spans="1:10" ht="15.75" customHeight="1">
      <c r="B26" s="1" t="s">
        <v>35</v>
      </c>
    </row>
    <row r="27" spans="1:10" ht="32.25" customHeight="1">
      <c r="B27" s="5"/>
      <c r="C27" s="6" t="s">
        <v>4</v>
      </c>
      <c r="D27" s="7" t="s">
        <v>5</v>
      </c>
      <c r="E27" s="6" t="s">
        <v>6</v>
      </c>
      <c r="F27" s="6" t="s">
        <v>7</v>
      </c>
      <c r="G27" s="9" t="s">
        <v>8</v>
      </c>
      <c r="H27" s="6" t="s">
        <v>9</v>
      </c>
      <c r="I27" s="6" t="s">
        <v>10</v>
      </c>
      <c r="J27" s="6" t="s">
        <v>11</v>
      </c>
    </row>
    <row r="28" spans="1:10" ht="15.75" customHeight="1">
      <c r="B28" s="12" t="s">
        <v>12</v>
      </c>
      <c r="C28" s="13">
        <v>0</v>
      </c>
      <c r="D28" s="13">
        <v>200</v>
      </c>
      <c r="E28" s="13">
        <v>809</v>
      </c>
      <c r="F28" s="13">
        <v>100</v>
      </c>
      <c r="G28" s="13">
        <v>0</v>
      </c>
      <c r="H28" s="15">
        <f t="shared" ref="H28:H41" si="8">C28+D28+F28</f>
        <v>300</v>
      </c>
      <c r="I28" s="15">
        <f t="shared" ref="I28:I41" si="9">E28+G28</f>
        <v>809</v>
      </c>
      <c r="J28" s="15">
        <f t="shared" ref="J28:J32" si="10">SUM(C28:G28)</f>
        <v>1109</v>
      </c>
    </row>
    <row r="29" spans="1:10" ht="15.75" customHeight="1">
      <c r="B29" s="12" t="s">
        <v>16</v>
      </c>
      <c r="C29" s="13">
        <v>0</v>
      </c>
      <c r="D29" s="13">
        <f>100+100</f>
        <v>200</v>
      </c>
      <c r="E29" s="13">
        <f>200+660</f>
        <v>860</v>
      </c>
      <c r="F29" s="13">
        <v>20</v>
      </c>
      <c r="G29" s="13">
        <v>0</v>
      </c>
      <c r="H29" s="15">
        <f t="shared" si="8"/>
        <v>220</v>
      </c>
      <c r="I29" s="15">
        <f t="shared" si="9"/>
        <v>860</v>
      </c>
      <c r="J29" s="15">
        <f t="shared" si="10"/>
        <v>1080</v>
      </c>
    </row>
    <row r="30" spans="1:10" ht="15.75" customHeight="1">
      <c r="B30" s="7" t="s">
        <v>18</v>
      </c>
      <c r="C30" s="13">
        <v>0</v>
      </c>
      <c r="D30" s="13">
        <v>0</v>
      </c>
      <c r="E30" s="13">
        <f>2666+704+96+92</f>
        <v>3558</v>
      </c>
      <c r="F30" s="13">
        <v>100</v>
      </c>
      <c r="G30" s="13">
        <v>0</v>
      </c>
      <c r="H30" s="15">
        <f t="shared" si="8"/>
        <v>100</v>
      </c>
      <c r="I30" s="15">
        <f t="shared" si="9"/>
        <v>3558</v>
      </c>
      <c r="J30" s="15">
        <f t="shared" si="10"/>
        <v>3658</v>
      </c>
    </row>
    <row r="31" spans="1:10" ht="15.75" customHeight="1">
      <c r="B31" s="7" t="s">
        <v>17</v>
      </c>
      <c r="C31" s="13">
        <v>0</v>
      </c>
      <c r="D31" s="13">
        <v>0</v>
      </c>
      <c r="E31" s="13">
        <v>1100.75</v>
      </c>
      <c r="F31" s="13">
        <f>84.7-19.14</f>
        <v>65.56</v>
      </c>
      <c r="G31" s="13">
        <v>19.14</v>
      </c>
      <c r="H31" s="15">
        <f t="shared" si="8"/>
        <v>65.56</v>
      </c>
      <c r="I31" s="15">
        <f t="shared" si="9"/>
        <v>1119.8900000000001</v>
      </c>
      <c r="J31" s="15">
        <f t="shared" si="10"/>
        <v>1185.45</v>
      </c>
    </row>
    <row r="32" spans="1:10" ht="15.75" customHeight="1">
      <c r="B32" s="7" t="s">
        <v>20</v>
      </c>
      <c r="C32" s="13">
        <v>0</v>
      </c>
      <c r="D32" s="13">
        <v>0</v>
      </c>
      <c r="E32" s="13">
        <v>0</v>
      </c>
      <c r="F32" s="13">
        <v>180</v>
      </c>
      <c r="G32" s="13">
        <v>431</v>
      </c>
      <c r="H32" s="15">
        <f t="shared" si="8"/>
        <v>180</v>
      </c>
      <c r="I32" s="15">
        <f t="shared" si="9"/>
        <v>431</v>
      </c>
      <c r="J32" s="15">
        <f t="shared" si="10"/>
        <v>611</v>
      </c>
    </row>
    <row r="33" spans="1:10" ht="15.75" customHeight="1">
      <c r="B33" s="20" t="s">
        <v>21</v>
      </c>
      <c r="C33" s="21">
        <v>0</v>
      </c>
      <c r="D33" s="21">
        <v>0</v>
      </c>
      <c r="E33" s="13">
        <v>758</v>
      </c>
      <c r="F33" s="13">
        <v>76.650000000000006</v>
      </c>
      <c r="G33" s="15">
        <v>0</v>
      </c>
      <c r="H33" s="15">
        <f t="shared" si="8"/>
        <v>76.650000000000006</v>
      </c>
      <c r="I33" s="15">
        <f t="shared" si="9"/>
        <v>758</v>
      </c>
      <c r="J33" s="15">
        <f>SUM(H33:I33)</f>
        <v>834.65</v>
      </c>
    </row>
    <row r="34" spans="1:10" ht="15.75" customHeight="1">
      <c r="B34" s="7" t="s">
        <v>22</v>
      </c>
      <c r="C34" s="2">
        <v>0</v>
      </c>
      <c r="D34" s="13">
        <v>53.712000000000003</v>
      </c>
      <c r="E34" s="13">
        <v>29.373000000000001</v>
      </c>
      <c r="F34" s="13">
        <v>4.6500000000000004</v>
      </c>
      <c r="G34" s="13">
        <v>28.577999999999999</v>
      </c>
      <c r="H34" s="15">
        <f t="shared" si="8"/>
        <v>58.362000000000002</v>
      </c>
      <c r="I34" s="15">
        <f t="shared" si="9"/>
        <v>57.951000000000001</v>
      </c>
      <c r="J34" s="15">
        <f t="shared" ref="J34:J41" si="11">SUM(C34:G34)</f>
        <v>116.31300000000002</v>
      </c>
    </row>
    <row r="35" spans="1:10" ht="15.75" customHeight="1">
      <c r="A35" s="286" t="s">
        <v>23</v>
      </c>
      <c r="B35" s="7" t="s">
        <v>24</v>
      </c>
      <c r="C35" s="13">
        <v>0</v>
      </c>
      <c r="D35" s="13">
        <v>215</v>
      </c>
      <c r="E35" s="13">
        <v>712.16</v>
      </c>
      <c r="F35" s="13">
        <v>70</v>
      </c>
      <c r="G35" s="13">
        <v>0</v>
      </c>
      <c r="H35" s="15">
        <f t="shared" si="8"/>
        <v>285</v>
      </c>
      <c r="I35" s="15">
        <f t="shared" si="9"/>
        <v>712.16</v>
      </c>
      <c r="J35" s="15">
        <f t="shared" si="11"/>
        <v>997.16</v>
      </c>
    </row>
    <row r="36" spans="1:10" ht="15.75" customHeight="1">
      <c r="A36" s="287"/>
      <c r="B36" s="7" t="s">
        <v>25</v>
      </c>
      <c r="C36" s="13">
        <v>0</v>
      </c>
      <c r="D36" s="13">
        <v>50</v>
      </c>
      <c r="E36" s="13">
        <v>105</v>
      </c>
      <c r="F36" s="13">
        <v>20</v>
      </c>
      <c r="G36" s="13">
        <v>0</v>
      </c>
      <c r="H36" s="15">
        <f t="shared" si="8"/>
        <v>70</v>
      </c>
      <c r="I36" s="15">
        <f t="shared" si="9"/>
        <v>105</v>
      </c>
      <c r="J36" s="15">
        <f t="shared" si="11"/>
        <v>175</v>
      </c>
    </row>
    <row r="37" spans="1:10" ht="15.75" customHeight="1">
      <c r="A37" s="287"/>
      <c r="B37" s="7" t="s">
        <v>26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5">
        <f t="shared" si="8"/>
        <v>0</v>
      </c>
      <c r="I37" s="15">
        <f t="shared" si="9"/>
        <v>0</v>
      </c>
      <c r="J37" s="15">
        <f t="shared" si="11"/>
        <v>0</v>
      </c>
    </row>
    <row r="38" spans="1:10" ht="15.75" customHeight="1">
      <c r="A38" s="287"/>
      <c r="B38" s="7" t="s">
        <v>27</v>
      </c>
      <c r="C38" s="13">
        <v>0</v>
      </c>
      <c r="D38" s="13">
        <v>50</v>
      </c>
      <c r="E38" s="13">
        <v>100</v>
      </c>
      <c r="F38" s="13">
        <v>20</v>
      </c>
      <c r="G38" s="13">
        <v>0</v>
      </c>
      <c r="H38" s="15">
        <f t="shared" si="8"/>
        <v>70</v>
      </c>
      <c r="I38" s="15">
        <f t="shared" si="9"/>
        <v>100</v>
      </c>
      <c r="J38" s="15">
        <f t="shared" si="11"/>
        <v>170</v>
      </c>
    </row>
    <row r="39" spans="1:10" ht="15.75" customHeight="1">
      <c r="A39" s="23"/>
      <c r="B39" s="7" t="s">
        <v>19</v>
      </c>
      <c r="C39" s="13">
        <v>0</v>
      </c>
      <c r="D39" s="13">
        <v>0</v>
      </c>
      <c r="E39" s="13">
        <v>60</v>
      </c>
      <c r="F39" s="13">
        <v>10</v>
      </c>
      <c r="G39" s="13">
        <v>0</v>
      </c>
      <c r="H39" s="15">
        <f t="shared" si="8"/>
        <v>10</v>
      </c>
      <c r="I39" s="15">
        <f t="shared" si="9"/>
        <v>60</v>
      </c>
      <c r="J39" s="15">
        <f t="shared" si="11"/>
        <v>70</v>
      </c>
    </row>
    <row r="40" spans="1:10" ht="15.75" customHeight="1">
      <c r="A40" s="23"/>
      <c r="B40" s="7" t="s">
        <v>28</v>
      </c>
      <c r="C40" s="13">
        <v>0</v>
      </c>
      <c r="D40" s="13">
        <v>300</v>
      </c>
      <c r="E40" s="13">
        <v>940</v>
      </c>
      <c r="F40" s="13">
        <v>100</v>
      </c>
      <c r="G40" s="13">
        <v>0</v>
      </c>
      <c r="H40" s="15">
        <f t="shared" si="8"/>
        <v>400</v>
      </c>
      <c r="I40" s="15">
        <f t="shared" si="9"/>
        <v>940</v>
      </c>
      <c r="J40" s="15">
        <f t="shared" si="11"/>
        <v>1340</v>
      </c>
    </row>
    <row r="41" spans="1:10" ht="15.75" customHeight="1">
      <c r="B41" s="7" t="s">
        <v>29</v>
      </c>
      <c r="C41" s="13">
        <v>0</v>
      </c>
      <c r="D41" s="13">
        <v>0</v>
      </c>
      <c r="E41" s="13">
        <f>5+120+30+10+80+20+20+150+172+30</f>
        <v>637</v>
      </c>
      <c r="F41" s="13">
        <v>0</v>
      </c>
      <c r="G41" s="13">
        <v>0</v>
      </c>
      <c r="H41" s="15">
        <f t="shared" si="8"/>
        <v>0</v>
      </c>
      <c r="I41" s="15">
        <f t="shared" si="9"/>
        <v>637</v>
      </c>
      <c r="J41" s="15">
        <f t="shared" si="11"/>
        <v>637</v>
      </c>
    </row>
    <row r="42" spans="1:10" ht="15.75" customHeight="1">
      <c r="B42" s="7" t="s">
        <v>30</v>
      </c>
      <c r="C42" s="21">
        <v>480</v>
      </c>
      <c r="D42" s="13">
        <v>600</v>
      </c>
      <c r="E42" s="13">
        <v>480</v>
      </c>
      <c r="F42" s="13">
        <v>480</v>
      </c>
      <c r="G42" s="13">
        <v>480</v>
      </c>
      <c r="H42" s="15">
        <f>SUM(C42:G42)</f>
        <v>2520</v>
      </c>
      <c r="I42" s="15"/>
      <c r="J42" s="15">
        <f>H42</f>
        <v>2520</v>
      </c>
    </row>
    <row r="43" spans="1:10" ht="15.75" customHeight="1">
      <c r="B43" s="7" t="s">
        <v>31</v>
      </c>
      <c r="C43" s="13">
        <f t="shared" ref="C43:G43" si="12">0.1*SUM(C28:C41)</f>
        <v>0</v>
      </c>
      <c r="D43" s="13">
        <f t="shared" si="12"/>
        <v>106.8712</v>
      </c>
      <c r="E43" s="13">
        <f t="shared" si="12"/>
        <v>966.92830000000004</v>
      </c>
      <c r="F43" s="13">
        <f t="shared" si="12"/>
        <v>76.686000000000007</v>
      </c>
      <c r="G43" s="13">
        <f t="shared" si="12"/>
        <v>47.8718</v>
      </c>
      <c r="H43" s="15">
        <f t="shared" ref="H43:H44" si="13">C43+D43+F43</f>
        <v>183.55720000000002</v>
      </c>
      <c r="I43" s="13">
        <f>0.1*SUM(I28:I41)</f>
        <v>1014.8001</v>
      </c>
      <c r="J43" s="13">
        <f>0.1*SUM(J28:J42)</f>
        <v>1450.3573000000001</v>
      </c>
    </row>
    <row r="44" spans="1:10" ht="12.75">
      <c r="B44" s="7" t="s">
        <v>13</v>
      </c>
      <c r="C44" s="13">
        <f t="shared" ref="C44:G44" si="14">SUM(C28:C43)</f>
        <v>480</v>
      </c>
      <c r="D44" s="13">
        <f t="shared" si="14"/>
        <v>1775.5832</v>
      </c>
      <c r="E44" s="13">
        <f t="shared" si="14"/>
        <v>11116.211299999999</v>
      </c>
      <c r="F44" s="13">
        <f t="shared" si="14"/>
        <v>1323.546</v>
      </c>
      <c r="G44" s="13">
        <f t="shared" si="14"/>
        <v>1006.5898</v>
      </c>
      <c r="H44" s="15">
        <f t="shared" si="13"/>
        <v>3579.1292000000003</v>
      </c>
      <c r="I44" s="13">
        <f t="shared" ref="I44:J44" si="15">SUM(I28:I43)</f>
        <v>11162.801100000001</v>
      </c>
      <c r="J44" s="320">
        <f t="shared" si="15"/>
        <v>15953.9303</v>
      </c>
    </row>
    <row r="45" spans="1:10" ht="12.75">
      <c r="B45" s="13" t="s">
        <v>32</v>
      </c>
      <c r="C45" s="15"/>
      <c r="D45" s="15"/>
      <c r="E45" s="15"/>
      <c r="F45" s="15"/>
      <c r="G45" s="15"/>
      <c r="H45" s="15"/>
      <c r="I45" s="15"/>
      <c r="J45" s="15"/>
    </row>
    <row r="46" spans="1:10" ht="12.75">
      <c r="B46" s="7" t="s">
        <v>33</v>
      </c>
      <c r="C46" s="34">
        <v>4.0999999999999996</v>
      </c>
      <c r="D46" s="34">
        <v>14.65</v>
      </c>
      <c r="E46" s="34">
        <v>7.6</v>
      </c>
      <c r="F46" s="34">
        <v>6.1</v>
      </c>
      <c r="G46" s="34">
        <v>2.7</v>
      </c>
      <c r="H46" s="15">
        <f>SUM(C46:G46)</f>
        <v>35.150000000000006</v>
      </c>
      <c r="I46" s="15"/>
      <c r="J46" s="35">
        <v>35.15</v>
      </c>
    </row>
    <row r="49" spans="1:10" ht="12.75">
      <c r="B49" s="36" t="s">
        <v>36</v>
      </c>
    </row>
    <row r="50" spans="1:10" ht="24">
      <c r="B50" s="5"/>
      <c r="C50" s="6" t="s">
        <v>4</v>
      </c>
      <c r="D50" s="7" t="s">
        <v>5</v>
      </c>
      <c r="E50" s="6" t="s">
        <v>6</v>
      </c>
      <c r="F50" s="6" t="s">
        <v>7</v>
      </c>
      <c r="G50" s="9" t="s">
        <v>8</v>
      </c>
      <c r="H50" s="6" t="s">
        <v>9</v>
      </c>
      <c r="I50" s="6" t="s">
        <v>10</v>
      </c>
      <c r="J50" s="6" t="s">
        <v>11</v>
      </c>
    </row>
    <row r="51" spans="1:10" ht="12.75">
      <c r="B51" s="12" t="s">
        <v>12</v>
      </c>
      <c r="C51" s="13">
        <v>0</v>
      </c>
      <c r="D51" s="13">
        <v>200</v>
      </c>
      <c r="E51" s="13">
        <v>809</v>
      </c>
      <c r="F51" s="13">
        <v>100</v>
      </c>
      <c r="G51" s="13">
        <v>0</v>
      </c>
      <c r="H51" s="15">
        <f t="shared" ref="H51:H64" si="16">C51+D51+F51</f>
        <v>300</v>
      </c>
      <c r="I51" s="15">
        <f t="shared" ref="I51:I64" si="17">E51+G51</f>
        <v>809</v>
      </c>
      <c r="J51" s="15">
        <f t="shared" ref="J51:J55" si="18">SUM(C51:G51)</f>
        <v>1109</v>
      </c>
    </row>
    <row r="52" spans="1:10" ht="12.75">
      <c r="B52" s="12" t="s">
        <v>16</v>
      </c>
      <c r="C52" s="13">
        <v>0</v>
      </c>
      <c r="D52" s="13">
        <f>100+100</f>
        <v>200</v>
      </c>
      <c r="E52" s="13">
        <f>200+400</f>
        <v>600</v>
      </c>
      <c r="F52" s="13">
        <v>20</v>
      </c>
      <c r="G52" s="13">
        <v>0</v>
      </c>
      <c r="H52" s="15">
        <f t="shared" si="16"/>
        <v>220</v>
      </c>
      <c r="I52" s="15">
        <f t="shared" si="17"/>
        <v>600</v>
      </c>
      <c r="J52" s="15">
        <f t="shared" si="18"/>
        <v>820</v>
      </c>
    </row>
    <row r="53" spans="1:10" ht="12.75">
      <c r="B53" s="7" t="s">
        <v>18</v>
      </c>
      <c r="C53" s="13">
        <v>0</v>
      </c>
      <c r="D53" s="13">
        <v>0</v>
      </c>
      <c r="E53" s="13">
        <f>2666+704+96+92</f>
        <v>3558</v>
      </c>
      <c r="F53" s="13">
        <v>100</v>
      </c>
      <c r="G53" s="13">
        <v>0</v>
      </c>
      <c r="H53" s="15">
        <f t="shared" si="16"/>
        <v>100</v>
      </c>
      <c r="I53" s="15">
        <f t="shared" si="17"/>
        <v>3558</v>
      </c>
      <c r="J53" s="15">
        <f t="shared" si="18"/>
        <v>3658</v>
      </c>
    </row>
    <row r="54" spans="1:10" ht="12.75">
      <c r="B54" s="7" t="s">
        <v>17</v>
      </c>
      <c r="C54" s="13">
        <v>0</v>
      </c>
      <c r="D54" s="13">
        <v>0</v>
      </c>
      <c r="E54" s="13">
        <v>1100.75</v>
      </c>
      <c r="F54" s="13">
        <f>84.7-19.14</f>
        <v>65.56</v>
      </c>
      <c r="G54" s="13">
        <v>19.14</v>
      </c>
      <c r="H54" s="15">
        <f t="shared" si="16"/>
        <v>65.56</v>
      </c>
      <c r="I54" s="15">
        <f t="shared" si="17"/>
        <v>1119.8900000000001</v>
      </c>
      <c r="J54" s="15">
        <f t="shared" si="18"/>
        <v>1185.45</v>
      </c>
    </row>
    <row r="55" spans="1:10" ht="12.75">
      <c r="B55" s="7" t="s">
        <v>20</v>
      </c>
      <c r="C55" s="13">
        <v>0</v>
      </c>
      <c r="D55" s="13">
        <v>0</v>
      </c>
      <c r="E55" s="13">
        <v>0</v>
      </c>
      <c r="F55" s="13">
        <v>0</v>
      </c>
      <c r="G55" s="13">
        <v>76.5</v>
      </c>
      <c r="H55" s="15">
        <f t="shared" si="16"/>
        <v>0</v>
      </c>
      <c r="I55" s="15">
        <f t="shared" si="17"/>
        <v>76.5</v>
      </c>
      <c r="J55" s="15">
        <f t="shared" si="18"/>
        <v>76.5</v>
      </c>
    </row>
    <row r="56" spans="1:10" ht="12.75">
      <c r="B56" s="20" t="s">
        <v>21</v>
      </c>
      <c r="C56" s="21">
        <v>0</v>
      </c>
      <c r="D56" s="21">
        <v>0</v>
      </c>
      <c r="E56" s="13">
        <v>310.69</v>
      </c>
      <c r="F56" s="13">
        <v>76.650000000000006</v>
      </c>
      <c r="G56" s="15">
        <v>0</v>
      </c>
      <c r="H56" s="15">
        <f t="shared" si="16"/>
        <v>76.650000000000006</v>
      </c>
      <c r="I56" s="15">
        <f t="shared" si="17"/>
        <v>310.69</v>
      </c>
      <c r="J56" s="15">
        <f>SUM(H56:I56)</f>
        <v>387.34000000000003</v>
      </c>
    </row>
    <row r="57" spans="1:10" ht="12.75">
      <c r="B57" s="7" t="s">
        <v>22</v>
      </c>
      <c r="C57" s="2">
        <v>0</v>
      </c>
      <c r="D57" s="13">
        <v>48.756999999999998</v>
      </c>
      <c r="E57" s="13">
        <v>27.423999999999999</v>
      </c>
      <c r="F57" s="13">
        <v>3.4129999999999998</v>
      </c>
      <c r="G57" s="13">
        <v>23.599</v>
      </c>
      <c r="H57" s="15">
        <f t="shared" si="16"/>
        <v>52.169999999999995</v>
      </c>
      <c r="I57" s="15">
        <f t="shared" si="17"/>
        <v>51.022999999999996</v>
      </c>
      <c r="J57" s="15">
        <f t="shared" ref="J57:J64" si="19">SUM(C57:G57)</f>
        <v>103.193</v>
      </c>
    </row>
    <row r="58" spans="1:10" ht="12.75">
      <c r="A58" s="286" t="s">
        <v>23</v>
      </c>
      <c r="B58" s="7" t="s">
        <v>24</v>
      </c>
      <c r="C58" s="13">
        <v>0</v>
      </c>
      <c r="D58" s="13">
        <v>60</v>
      </c>
      <c r="E58" s="13">
        <v>178.04</v>
      </c>
      <c r="F58" s="13">
        <v>20</v>
      </c>
      <c r="G58" s="13">
        <v>0</v>
      </c>
      <c r="H58" s="15">
        <f t="shared" si="16"/>
        <v>80</v>
      </c>
      <c r="I58" s="15">
        <f t="shared" si="17"/>
        <v>178.04</v>
      </c>
      <c r="J58" s="15">
        <f t="shared" si="19"/>
        <v>258.03999999999996</v>
      </c>
    </row>
    <row r="59" spans="1:10" ht="12.75">
      <c r="A59" s="287"/>
      <c r="B59" s="7" t="s">
        <v>25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5">
        <f t="shared" si="16"/>
        <v>0</v>
      </c>
      <c r="I59" s="15">
        <f t="shared" si="17"/>
        <v>0</v>
      </c>
      <c r="J59" s="15">
        <f t="shared" si="19"/>
        <v>0</v>
      </c>
    </row>
    <row r="60" spans="1:10" ht="12.75">
      <c r="A60" s="287"/>
      <c r="B60" s="7" t="s">
        <v>26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5">
        <f t="shared" si="16"/>
        <v>0</v>
      </c>
      <c r="I60" s="15">
        <f t="shared" si="17"/>
        <v>0</v>
      </c>
      <c r="J60" s="15">
        <f t="shared" si="19"/>
        <v>0</v>
      </c>
    </row>
    <row r="61" spans="1:10" ht="12.75">
      <c r="A61" s="287"/>
      <c r="B61" s="7" t="s">
        <v>27</v>
      </c>
      <c r="C61" s="13">
        <v>0</v>
      </c>
      <c r="D61" s="13">
        <v>50</v>
      </c>
      <c r="E61" s="13">
        <v>100</v>
      </c>
      <c r="F61" s="13">
        <v>20</v>
      </c>
      <c r="G61" s="13">
        <v>0</v>
      </c>
      <c r="H61" s="15">
        <f t="shared" si="16"/>
        <v>70</v>
      </c>
      <c r="I61" s="15">
        <f t="shared" si="17"/>
        <v>100</v>
      </c>
      <c r="J61" s="15">
        <f t="shared" si="19"/>
        <v>170</v>
      </c>
    </row>
    <row r="62" spans="1:10" ht="12.75">
      <c r="A62" s="23"/>
      <c r="B62" s="7" t="s">
        <v>19</v>
      </c>
      <c r="C62" s="13">
        <v>0</v>
      </c>
      <c r="D62" s="13">
        <v>0</v>
      </c>
      <c r="E62" s="13">
        <v>60</v>
      </c>
      <c r="F62" s="13">
        <v>10</v>
      </c>
      <c r="G62" s="13">
        <v>0</v>
      </c>
      <c r="H62" s="15">
        <f t="shared" si="16"/>
        <v>10</v>
      </c>
      <c r="I62" s="15">
        <f t="shared" si="17"/>
        <v>60</v>
      </c>
      <c r="J62" s="15">
        <f t="shared" si="19"/>
        <v>70</v>
      </c>
    </row>
    <row r="63" spans="1:10" ht="12.75">
      <c r="A63" s="23"/>
      <c r="B63" s="7" t="s">
        <v>28</v>
      </c>
      <c r="C63" s="13">
        <v>0</v>
      </c>
      <c r="D63" s="13">
        <v>200</v>
      </c>
      <c r="E63" s="13">
        <v>600</v>
      </c>
      <c r="F63" s="13">
        <v>70</v>
      </c>
      <c r="G63" s="13">
        <v>0</v>
      </c>
      <c r="H63" s="15">
        <f t="shared" si="16"/>
        <v>270</v>
      </c>
      <c r="I63" s="15">
        <f t="shared" si="17"/>
        <v>600</v>
      </c>
      <c r="J63" s="15">
        <f t="shared" si="19"/>
        <v>870</v>
      </c>
    </row>
    <row r="64" spans="1:10" ht="12.75">
      <c r="B64" s="7" t="s">
        <v>29</v>
      </c>
      <c r="C64" s="13">
        <v>0</v>
      </c>
      <c r="D64" s="13">
        <v>0</v>
      </c>
      <c r="E64" s="13">
        <f>5+120+30+10+80+20+20+150+172+30</f>
        <v>637</v>
      </c>
      <c r="F64" s="13">
        <v>0</v>
      </c>
      <c r="G64" s="13">
        <v>0</v>
      </c>
      <c r="H64" s="15">
        <f t="shared" si="16"/>
        <v>0</v>
      </c>
      <c r="I64" s="15">
        <f t="shared" si="17"/>
        <v>637</v>
      </c>
      <c r="J64" s="15">
        <f t="shared" si="19"/>
        <v>637</v>
      </c>
    </row>
    <row r="65" spans="2:10" ht="12.75">
      <c r="B65" s="7" t="s">
        <v>30</v>
      </c>
      <c r="C65" s="21">
        <v>480</v>
      </c>
      <c r="D65" s="13">
        <v>600</v>
      </c>
      <c r="E65" s="13">
        <v>480</v>
      </c>
      <c r="F65" s="13">
        <v>480</v>
      </c>
      <c r="G65" s="13">
        <v>360</v>
      </c>
      <c r="H65" s="15">
        <f>SUM(C65:G65)</f>
        <v>2400</v>
      </c>
      <c r="I65" s="15"/>
      <c r="J65" s="15">
        <f>H65</f>
        <v>2400</v>
      </c>
    </row>
    <row r="66" spans="2:10" ht="12.75">
      <c r="B66" s="7" t="s">
        <v>31</v>
      </c>
      <c r="C66" s="13">
        <f t="shared" ref="C66:G66" si="20">0.1*SUM(C51:C64)</f>
        <v>0</v>
      </c>
      <c r="D66" s="13">
        <f t="shared" si="20"/>
        <v>75.875700000000009</v>
      </c>
      <c r="E66" s="13">
        <f t="shared" si="20"/>
        <v>798.09040000000005</v>
      </c>
      <c r="F66" s="13">
        <f t="shared" si="20"/>
        <v>48.562300000000008</v>
      </c>
      <c r="G66" s="13">
        <f t="shared" si="20"/>
        <v>11.923900000000001</v>
      </c>
      <c r="H66" s="15">
        <f t="shared" ref="H66:H67" si="21">C66+D66+F66</f>
        <v>124.43800000000002</v>
      </c>
      <c r="I66" s="13">
        <f>0.1*SUM(I51:I64)</f>
        <v>810.01430000000005</v>
      </c>
      <c r="J66" s="13">
        <f>0.1*SUM(J51:J65)</f>
        <v>1174.4523000000002</v>
      </c>
    </row>
    <row r="67" spans="2:10" ht="12.75">
      <c r="B67" s="7" t="s">
        <v>13</v>
      </c>
      <c r="C67" s="13">
        <f t="shared" ref="C67:G67" si="22">SUM(C51:C66)</f>
        <v>480</v>
      </c>
      <c r="D67" s="13">
        <f t="shared" si="22"/>
        <v>1434.6327000000001</v>
      </c>
      <c r="E67" s="13">
        <f t="shared" si="22"/>
        <v>9258.9943999999996</v>
      </c>
      <c r="F67" s="13">
        <f t="shared" si="22"/>
        <v>1014.1853000000001</v>
      </c>
      <c r="G67" s="13">
        <f t="shared" si="22"/>
        <v>491.16290000000004</v>
      </c>
      <c r="H67" s="15">
        <f t="shared" si="21"/>
        <v>2928.8180000000002</v>
      </c>
      <c r="I67" s="13">
        <f t="shared" ref="I67:J67" si="23">SUM(I51:I66)</f>
        <v>8910.1573000000008</v>
      </c>
      <c r="J67" s="320">
        <f t="shared" si="23"/>
        <v>12918.975300000002</v>
      </c>
    </row>
    <row r="68" spans="2:10" ht="12.75">
      <c r="B68" s="13" t="s">
        <v>32</v>
      </c>
      <c r="C68" s="15"/>
      <c r="D68" s="15"/>
      <c r="E68" s="15"/>
      <c r="F68" s="15"/>
      <c r="G68" s="15"/>
      <c r="H68" s="15"/>
      <c r="I68" s="15"/>
      <c r="J68" s="15"/>
    </row>
    <row r="69" spans="2:10" ht="12.75">
      <c r="B69" s="7" t="s">
        <v>33</v>
      </c>
      <c r="C69" s="34">
        <v>4.0999999999999996</v>
      </c>
      <c r="D69" s="34">
        <v>13.65</v>
      </c>
      <c r="E69" s="34">
        <v>7.6</v>
      </c>
      <c r="F69" s="34">
        <v>6.1</v>
      </c>
      <c r="G69" s="34">
        <v>2.7</v>
      </c>
      <c r="H69" s="15">
        <f>SUM(C69:G69)</f>
        <v>34.150000000000006</v>
      </c>
      <c r="I69" s="15"/>
      <c r="J69" s="35">
        <v>34.15</v>
      </c>
    </row>
  </sheetData>
  <mergeCells count="3">
    <mergeCell ref="A13:A16"/>
    <mergeCell ref="A35:A38"/>
    <mergeCell ref="A58:A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K14" sqref="K14"/>
    </sheetView>
  </sheetViews>
  <sheetFormatPr baseColWidth="10" defaultColWidth="14.42578125" defaultRowHeight="15.75" customHeight="1"/>
  <cols>
    <col min="2" max="2" width="48.28515625" customWidth="1"/>
    <col min="3" max="3" width="24.28515625" customWidth="1"/>
    <col min="4" max="4" width="30.7109375" customWidth="1"/>
    <col min="5" max="5" width="36.28515625" customWidth="1"/>
    <col min="6" max="6" width="28.42578125" customWidth="1"/>
    <col min="11" max="11" width="199.140625" customWidth="1"/>
  </cols>
  <sheetData>
    <row r="1" spans="1:11" ht="15.75" customHeight="1">
      <c r="B1" s="2" t="s">
        <v>37</v>
      </c>
      <c r="C1" s="2" t="s">
        <v>38</v>
      </c>
      <c r="D1" s="2" t="s">
        <v>39</v>
      </c>
      <c r="E1" s="2" t="s">
        <v>40</v>
      </c>
      <c r="F1" s="2" t="s">
        <v>41</v>
      </c>
      <c r="G1" s="2" t="s">
        <v>42</v>
      </c>
      <c r="H1" s="2" t="s">
        <v>43</v>
      </c>
      <c r="I1" s="2" t="s">
        <v>44</v>
      </c>
      <c r="J1" s="2" t="s">
        <v>45</v>
      </c>
      <c r="K1" s="2" t="s">
        <v>46</v>
      </c>
    </row>
    <row r="2" spans="1:11" ht="15.75" customHeight="1">
      <c r="A2" s="2" t="s">
        <v>47</v>
      </c>
      <c r="B2" s="2" t="s">
        <v>48</v>
      </c>
      <c r="C2" s="14">
        <v>5</v>
      </c>
      <c r="D2" s="14" t="s">
        <v>49</v>
      </c>
      <c r="E2" s="14">
        <v>3</v>
      </c>
      <c r="F2" s="37" t="s">
        <v>50</v>
      </c>
      <c r="G2" s="3"/>
      <c r="H2" s="3"/>
      <c r="I2" s="3">
        <f>156929*0.918</f>
        <v>144060.82200000001</v>
      </c>
      <c r="J2" s="3">
        <f t="shared" ref="J2:J10" si="0">I2/1000</f>
        <v>144.060822</v>
      </c>
      <c r="K2" s="2" t="s">
        <v>51</v>
      </c>
    </row>
    <row r="3" spans="1:11" ht="15.75" customHeight="1">
      <c r="A3" s="2">
        <v>0.91800000000000004</v>
      </c>
      <c r="B3" s="2" t="s">
        <v>52</v>
      </c>
      <c r="C3" s="14">
        <v>0.5</v>
      </c>
      <c r="D3" s="14" t="s">
        <v>53</v>
      </c>
      <c r="E3" s="14">
        <v>3</v>
      </c>
      <c r="F3" s="37" t="s">
        <v>54</v>
      </c>
      <c r="G3" s="3"/>
      <c r="H3" s="3"/>
      <c r="I3" s="3">
        <f>15185*0.918</f>
        <v>13939.83</v>
      </c>
      <c r="J3" s="3">
        <f t="shared" si="0"/>
        <v>13.939830000000001</v>
      </c>
      <c r="K3" s="2" t="s">
        <v>55</v>
      </c>
    </row>
    <row r="4" spans="1:11" ht="15.75" customHeight="1">
      <c r="A4" s="2"/>
      <c r="B4" s="2" t="s">
        <v>56</v>
      </c>
      <c r="C4" s="14">
        <v>9</v>
      </c>
      <c r="D4" s="14" t="s">
        <v>57</v>
      </c>
      <c r="E4" s="14">
        <v>3</v>
      </c>
      <c r="F4" s="37" t="s">
        <v>54</v>
      </c>
      <c r="G4" s="3"/>
      <c r="H4" s="3"/>
      <c r="I4" s="3">
        <f>309161*0.918</f>
        <v>283809.79800000001</v>
      </c>
      <c r="J4" s="3">
        <f t="shared" si="0"/>
        <v>283.809798</v>
      </c>
      <c r="K4" s="2" t="s">
        <v>58</v>
      </c>
    </row>
    <row r="5" spans="1:11" ht="15.75" customHeight="1">
      <c r="B5" s="2" t="s">
        <v>59</v>
      </c>
      <c r="C5" s="14">
        <v>6</v>
      </c>
      <c r="D5" s="14" t="s">
        <v>60</v>
      </c>
      <c r="E5" s="14" t="s">
        <v>61</v>
      </c>
      <c r="F5" s="37" t="s">
        <v>54</v>
      </c>
      <c r="G5" s="3"/>
      <c r="H5" s="3"/>
      <c r="I5" s="3">
        <f>142040*0.918</f>
        <v>130392.72</v>
      </c>
      <c r="J5" s="3">
        <f t="shared" si="0"/>
        <v>130.39272</v>
      </c>
      <c r="K5" s="2" t="s">
        <v>62</v>
      </c>
    </row>
    <row r="6" spans="1:11" ht="15.75" customHeight="1">
      <c r="B6" s="2" t="s">
        <v>63</v>
      </c>
      <c r="C6" s="14">
        <v>32.5</v>
      </c>
      <c r="D6" s="14" t="s">
        <v>60</v>
      </c>
      <c r="E6" s="14">
        <v>2</v>
      </c>
      <c r="F6" s="37" t="s">
        <v>64</v>
      </c>
      <c r="G6" s="14">
        <v>5000</v>
      </c>
      <c r="H6" s="3"/>
      <c r="I6" s="3">
        <f>590617*0.918</f>
        <v>542186.40600000008</v>
      </c>
      <c r="J6" s="3">
        <f t="shared" si="0"/>
        <v>542.18640600000003</v>
      </c>
      <c r="K6" s="2" t="s">
        <v>65</v>
      </c>
    </row>
    <row r="7" spans="1:11" ht="15.75" customHeight="1">
      <c r="B7" s="2" t="s">
        <v>66</v>
      </c>
      <c r="C7" s="14">
        <v>1.1499999999999999</v>
      </c>
      <c r="D7" s="14" t="s">
        <v>60</v>
      </c>
      <c r="E7" s="14" t="s">
        <v>61</v>
      </c>
      <c r="F7" s="37" t="s">
        <v>64</v>
      </c>
      <c r="G7" s="3"/>
      <c r="H7" s="3"/>
      <c r="I7" s="3">
        <f>15993*0.918</f>
        <v>14681.574000000001</v>
      </c>
      <c r="J7" s="3">
        <f t="shared" si="0"/>
        <v>14.681574000000001</v>
      </c>
      <c r="K7" s="2" t="s">
        <v>67</v>
      </c>
    </row>
    <row r="8" spans="1:11" ht="15.75" customHeight="1">
      <c r="B8" s="2" t="s">
        <v>68</v>
      </c>
      <c r="C8" s="14">
        <v>22.5</v>
      </c>
      <c r="D8" s="14" t="s">
        <v>60</v>
      </c>
      <c r="E8" s="14">
        <v>2</v>
      </c>
      <c r="F8" s="37" t="s">
        <v>64</v>
      </c>
      <c r="G8" s="14">
        <v>5000</v>
      </c>
      <c r="H8" s="3"/>
      <c r="I8" s="3">
        <f>408888*0.918</f>
        <v>375359.18400000001</v>
      </c>
      <c r="J8" s="3">
        <f t="shared" si="0"/>
        <v>375.35918400000003</v>
      </c>
      <c r="K8" s="2" t="s">
        <v>69</v>
      </c>
    </row>
    <row r="9" spans="1:11" ht="15.75" customHeight="1">
      <c r="B9" s="2" t="s">
        <v>70</v>
      </c>
      <c r="C9" s="14">
        <v>75</v>
      </c>
      <c r="D9" s="14" t="s">
        <v>60</v>
      </c>
      <c r="E9" s="14" t="s">
        <v>61</v>
      </c>
      <c r="F9" s="37" t="s">
        <v>64</v>
      </c>
      <c r="G9" s="3"/>
      <c r="H9" s="3"/>
      <c r="I9" s="3">
        <f>1043011*0.918</f>
        <v>957484.098</v>
      </c>
      <c r="J9" s="3">
        <f t="shared" si="0"/>
        <v>957.48409800000002</v>
      </c>
      <c r="K9" s="2" t="s">
        <v>71</v>
      </c>
    </row>
    <row r="10" spans="1:11" ht="15.75" customHeight="1">
      <c r="B10" s="2" t="s">
        <v>72</v>
      </c>
      <c r="C10" s="14">
        <v>7</v>
      </c>
      <c r="D10" s="14" t="s">
        <v>73</v>
      </c>
      <c r="E10" s="14">
        <v>4</v>
      </c>
      <c r="F10" s="37" t="s">
        <v>64</v>
      </c>
      <c r="G10" s="3"/>
      <c r="H10" s="3"/>
      <c r="I10" s="3">
        <f>233376*0.918</f>
        <v>214239.16800000001</v>
      </c>
      <c r="J10" s="3">
        <f t="shared" si="0"/>
        <v>214.23916800000001</v>
      </c>
      <c r="K10" s="2" t="s">
        <v>76</v>
      </c>
    </row>
    <row r="11" spans="1:11" ht="15.75" customHeight="1">
      <c r="C11" s="3"/>
      <c r="D11" s="3"/>
      <c r="E11" s="3"/>
      <c r="F11" s="3"/>
      <c r="G11" s="3"/>
      <c r="H11" s="3"/>
      <c r="I11" s="3"/>
      <c r="J11" s="3"/>
      <c r="K11" s="2"/>
    </row>
    <row r="12" spans="1:11">
      <c r="B12" s="43" t="s">
        <v>80</v>
      </c>
      <c r="C12" s="14">
        <v>160</v>
      </c>
      <c r="D12" s="3"/>
      <c r="E12" s="3"/>
      <c r="F12" s="3"/>
      <c r="G12" s="3"/>
      <c r="H12" s="14">
        <v>4400</v>
      </c>
      <c r="I12" s="3">
        <f t="shared" ref="I12:I14" si="1">H12*C12</f>
        <v>704000</v>
      </c>
      <c r="J12" s="3">
        <f t="shared" ref="J12:J14" si="2">I12/1000</f>
        <v>704</v>
      </c>
      <c r="K12" s="45" t="s">
        <v>87</v>
      </c>
    </row>
    <row r="13" spans="1:11">
      <c r="B13" s="43" t="s">
        <v>15</v>
      </c>
      <c r="C13" s="14">
        <v>160</v>
      </c>
      <c r="D13" s="3"/>
      <c r="E13" s="3"/>
      <c r="F13" s="3"/>
      <c r="G13" s="3"/>
      <c r="H13" s="14">
        <v>600</v>
      </c>
      <c r="I13" s="3">
        <f t="shared" si="1"/>
        <v>96000</v>
      </c>
      <c r="J13" s="3">
        <f t="shared" si="2"/>
        <v>96</v>
      </c>
      <c r="K13" s="45" t="s">
        <v>88</v>
      </c>
    </row>
    <row r="14" spans="1:11">
      <c r="B14" s="43" t="s">
        <v>89</v>
      </c>
      <c r="C14" s="14">
        <v>160</v>
      </c>
      <c r="D14" s="3"/>
      <c r="E14" s="3"/>
      <c r="F14" s="3"/>
      <c r="G14" s="3"/>
      <c r="H14" s="14">
        <v>1200</v>
      </c>
      <c r="I14" s="3">
        <f t="shared" si="1"/>
        <v>192000</v>
      </c>
      <c r="J14" s="3">
        <f t="shared" si="2"/>
        <v>192</v>
      </c>
      <c r="K14" s="45" t="s">
        <v>91</v>
      </c>
    </row>
    <row r="16" spans="1:11" ht="15.75" customHeight="1">
      <c r="B16" s="2"/>
      <c r="I16">
        <f t="shared" ref="I16:J16" si="3">SUM(I2:I14)</f>
        <v>3668153.6</v>
      </c>
      <c r="J16">
        <f t="shared" si="3"/>
        <v>3668.1536000000001</v>
      </c>
    </row>
    <row r="18" spans="1:8">
      <c r="A18" s="46" t="s">
        <v>92</v>
      </c>
      <c r="C18" s="47"/>
    </row>
    <row r="19" spans="1:8" ht="15.75" customHeight="1">
      <c r="B19" s="8" t="s">
        <v>93</v>
      </c>
      <c r="C19" s="48" t="s">
        <v>94</v>
      </c>
      <c r="D19" s="10" t="s">
        <v>95</v>
      </c>
      <c r="E19" s="10" t="s">
        <v>96</v>
      </c>
      <c r="F19" s="2"/>
    </row>
    <row r="20" spans="1:8" ht="15.75" customHeight="1">
      <c r="B20" s="14" t="s">
        <v>97</v>
      </c>
      <c r="C20" s="14">
        <v>50.55</v>
      </c>
      <c r="D20" s="14">
        <v>12000</v>
      </c>
      <c r="E20" s="14">
        <f t="shared" ref="E20:E21" si="4">C20*D20</f>
        <v>606600</v>
      </c>
    </row>
    <row r="21" spans="1:8" ht="15.75" customHeight="1">
      <c r="B21" s="14" t="s">
        <v>98</v>
      </c>
      <c r="C21" s="14">
        <v>254</v>
      </c>
      <c r="D21" s="14">
        <v>800</v>
      </c>
      <c r="E21" s="14">
        <f t="shared" si="4"/>
        <v>203200</v>
      </c>
    </row>
    <row r="22" spans="1:8" ht="15.75" customHeight="1">
      <c r="B22" s="14" t="s">
        <v>13</v>
      </c>
      <c r="C22" s="3"/>
      <c r="D22" s="3"/>
      <c r="E22" s="49">
        <f>E20+E21</f>
        <v>809800</v>
      </c>
    </row>
    <row r="23" spans="1:8" ht="15.75" customHeight="1">
      <c r="B23" s="14" t="s">
        <v>46</v>
      </c>
      <c r="C23" s="289" t="s">
        <v>99</v>
      </c>
      <c r="D23" s="287"/>
      <c r="E23" s="287"/>
      <c r="F23" s="287"/>
      <c r="G23" s="287"/>
    </row>
    <row r="25" spans="1:8" ht="15.75" customHeight="1">
      <c r="B25" s="288"/>
      <c r="C25" s="287"/>
      <c r="D25" s="26"/>
      <c r="E25" s="50"/>
      <c r="F25" s="27"/>
    </row>
    <row r="26" spans="1:8" ht="15.75" customHeight="1">
      <c r="B26" s="31"/>
      <c r="C26" s="25"/>
      <c r="D26" s="32"/>
      <c r="E26" s="51"/>
      <c r="F26" s="27"/>
      <c r="H26" s="2"/>
    </row>
  </sheetData>
  <mergeCells count="2">
    <mergeCell ref="B25:C25"/>
    <mergeCell ref="C23:G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activeCell="H25" sqref="H25"/>
    </sheetView>
  </sheetViews>
  <sheetFormatPr baseColWidth="10" defaultColWidth="14.42578125" defaultRowHeight="15.75" customHeight="1"/>
  <sheetData>
    <row r="1" spans="1:8" ht="15.75" customHeight="1">
      <c r="A1" s="289"/>
      <c r="B1" s="287"/>
      <c r="C1" s="287"/>
      <c r="D1" s="287"/>
      <c r="E1" s="287"/>
      <c r="F1" s="38"/>
    </row>
    <row r="2" spans="1:8" ht="15.75" customHeight="1">
      <c r="E2" s="39" t="s">
        <v>2</v>
      </c>
      <c r="F2" s="39" t="s">
        <v>2</v>
      </c>
    </row>
    <row r="3" spans="1:8" ht="15.75" customHeight="1">
      <c r="C3" s="2" t="s">
        <v>74</v>
      </c>
      <c r="E3" s="40">
        <v>60</v>
      </c>
      <c r="F3" s="41">
        <v>40</v>
      </c>
      <c r="H3" s="2" t="s">
        <v>75</v>
      </c>
    </row>
    <row r="4" spans="1:8" ht="15.75" customHeight="1">
      <c r="E4" s="39" t="s">
        <v>77</v>
      </c>
      <c r="F4" s="39" t="s">
        <v>78</v>
      </c>
    </row>
    <row r="5" spans="1:8" ht="15.75" customHeight="1">
      <c r="E5" s="38"/>
      <c r="F5" s="38"/>
    </row>
    <row r="6" spans="1:8" ht="15.75" customHeight="1">
      <c r="C6" s="44" t="s">
        <v>81</v>
      </c>
      <c r="E6" s="38"/>
      <c r="F6" s="38"/>
    </row>
    <row r="7" spans="1:8" ht="15.75" customHeight="1">
      <c r="E7" s="38"/>
      <c r="F7" s="38"/>
    </row>
    <row r="8" spans="1:8" ht="15.75" customHeight="1">
      <c r="C8" s="313" t="s">
        <v>82</v>
      </c>
      <c r="E8" s="38"/>
      <c r="F8" s="38"/>
    </row>
    <row r="9" spans="1:8" ht="15.75" customHeight="1">
      <c r="E9" s="38"/>
      <c r="F9" s="38"/>
    </row>
    <row r="10" spans="1:8" ht="15.75" customHeight="1">
      <c r="C10" s="313" t="s">
        <v>83</v>
      </c>
      <c r="E10" s="38"/>
      <c r="F10" s="38"/>
    </row>
    <row r="11" spans="1:8" ht="15.75" customHeight="1">
      <c r="E11" s="38"/>
      <c r="F11" s="38"/>
    </row>
    <row r="12" spans="1:8" ht="15.75" customHeight="1">
      <c r="C12" s="313" t="s">
        <v>84</v>
      </c>
      <c r="E12" s="38"/>
      <c r="F12" s="38"/>
    </row>
    <row r="13" spans="1:8" ht="15.75" customHeight="1">
      <c r="E13" s="38"/>
      <c r="F13" s="38"/>
    </row>
    <row r="14" spans="1:8" ht="15.75" customHeight="1">
      <c r="C14" s="313" t="s">
        <v>85</v>
      </c>
      <c r="E14" s="38"/>
      <c r="F14" s="38"/>
    </row>
    <row r="15" spans="1:8" ht="15.75" customHeight="1">
      <c r="E15" s="38"/>
      <c r="F15" s="38"/>
    </row>
    <row r="16" spans="1:8" ht="15.75" customHeight="1">
      <c r="C16" s="313" t="s">
        <v>86</v>
      </c>
      <c r="E16" s="38"/>
      <c r="F16" s="38"/>
    </row>
    <row r="17" spans="5:6" ht="15.75" customHeight="1">
      <c r="E17" s="38"/>
      <c r="F17" s="38"/>
    </row>
    <row r="18" spans="5:6" ht="15.75" customHeight="1">
      <c r="E18" s="38"/>
      <c r="F18" s="38"/>
    </row>
    <row r="19" spans="5:6" ht="15.75" customHeight="1">
      <c r="E19" s="38"/>
      <c r="F19" s="38"/>
    </row>
    <row r="20" spans="5:6" ht="15.75" customHeight="1">
      <c r="E20" s="38"/>
      <c r="F20" s="38"/>
    </row>
    <row r="21" spans="5:6" ht="15.75" customHeight="1">
      <c r="E21" s="38"/>
      <c r="F21" s="38"/>
    </row>
    <row r="22" spans="5:6" ht="15.75" customHeight="1">
      <c r="E22" s="38"/>
      <c r="F22" s="38"/>
    </row>
    <row r="23" spans="5:6" ht="15.75" customHeight="1">
      <c r="E23" s="38"/>
      <c r="F23" s="38"/>
    </row>
    <row r="24" spans="5:6" ht="15.75" customHeight="1">
      <c r="E24" s="38"/>
      <c r="F24" s="38"/>
    </row>
    <row r="25" spans="5:6" ht="15.75" customHeight="1">
      <c r="E25" s="38"/>
      <c r="F25" s="38"/>
    </row>
    <row r="26" spans="5:6" ht="15.75" customHeight="1">
      <c r="E26" s="38"/>
      <c r="F26" s="38"/>
    </row>
    <row r="27" spans="5:6" ht="15.75" customHeight="1">
      <c r="E27" s="38"/>
      <c r="F27" s="38"/>
    </row>
    <row r="28" spans="5:6" ht="15.75" customHeight="1">
      <c r="E28" s="38"/>
      <c r="F28" s="38"/>
    </row>
    <row r="29" spans="5:6" ht="15.75" customHeight="1">
      <c r="E29" s="38"/>
      <c r="F29" s="38"/>
    </row>
    <row r="30" spans="5:6" ht="15.75" customHeight="1">
      <c r="E30" s="38"/>
      <c r="F30" s="38"/>
    </row>
    <row r="31" spans="5:6" ht="15.75" customHeight="1">
      <c r="E31" s="38"/>
      <c r="F31" s="38"/>
    </row>
    <row r="32" spans="5:6" ht="15.75" customHeight="1">
      <c r="E32" s="38"/>
      <c r="F32" s="38"/>
    </row>
    <row r="33" spans="5:6" ht="15.75" customHeight="1">
      <c r="E33" s="38"/>
      <c r="F33" s="38"/>
    </row>
    <row r="34" spans="5:6" ht="15.75" customHeight="1">
      <c r="E34" s="38"/>
      <c r="F34" s="38"/>
    </row>
    <row r="35" spans="5:6" ht="15.75" customHeight="1">
      <c r="E35" s="38"/>
      <c r="F35" s="38"/>
    </row>
    <row r="36" spans="5:6" ht="15.75" customHeight="1">
      <c r="E36" s="38"/>
      <c r="F36" s="38"/>
    </row>
    <row r="37" spans="5:6" ht="15.75" customHeight="1">
      <c r="E37" s="38"/>
      <c r="F37" s="38"/>
    </row>
    <row r="38" spans="5:6" ht="15.75" customHeight="1">
      <c r="E38" s="38"/>
      <c r="F38" s="38"/>
    </row>
    <row r="39" spans="5:6" ht="15.75" customHeight="1">
      <c r="E39" s="38"/>
      <c r="F39" s="38"/>
    </row>
    <row r="40" spans="5:6" ht="15.75" customHeight="1">
      <c r="E40" s="38"/>
      <c r="F40" s="38"/>
    </row>
    <row r="41" spans="5:6" ht="15.75" customHeight="1">
      <c r="E41" s="38"/>
      <c r="F41" s="38"/>
    </row>
    <row r="42" spans="5:6" ht="12.75">
      <c r="E42" s="38"/>
      <c r="F42" s="38"/>
    </row>
    <row r="43" spans="5:6" ht="12.75">
      <c r="E43" s="38"/>
      <c r="F43" s="38"/>
    </row>
    <row r="44" spans="5:6" ht="12.75">
      <c r="E44" s="38"/>
      <c r="F44" s="38"/>
    </row>
    <row r="45" spans="5:6" ht="12.75">
      <c r="E45" s="38"/>
      <c r="F45" s="38"/>
    </row>
    <row r="46" spans="5:6" ht="12.75">
      <c r="E46" s="38"/>
      <c r="F46" s="38"/>
    </row>
    <row r="47" spans="5:6" ht="12.75">
      <c r="E47" s="38"/>
      <c r="F47" s="38"/>
    </row>
    <row r="48" spans="5:6" ht="12.75">
      <c r="E48" s="38"/>
      <c r="F48" s="38"/>
    </row>
    <row r="49" spans="5:6" ht="12.75">
      <c r="E49" s="38"/>
      <c r="F49" s="38"/>
    </row>
    <row r="50" spans="5:6" ht="12.75">
      <c r="E50" s="38"/>
      <c r="F50" s="38"/>
    </row>
    <row r="51" spans="5:6" ht="12.75">
      <c r="E51" s="38"/>
      <c r="F51" s="38"/>
    </row>
    <row r="52" spans="5:6" ht="12.75">
      <c r="E52" s="38"/>
      <c r="F52" s="38"/>
    </row>
    <row r="53" spans="5:6" ht="12.75">
      <c r="E53" s="38"/>
      <c r="F53" s="38"/>
    </row>
    <row r="54" spans="5:6" ht="12.75">
      <c r="E54" s="38"/>
      <c r="F54" s="38"/>
    </row>
    <row r="55" spans="5:6" ht="12.75">
      <c r="E55" s="38"/>
      <c r="F55" s="38"/>
    </row>
    <row r="56" spans="5:6" ht="12.75">
      <c r="E56" s="38"/>
      <c r="F56" s="38"/>
    </row>
    <row r="57" spans="5:6" ht="12.75">
      <c r="E57" s="38"/>
      <c r="F57" s="38"/>
    </row>
    <row r="58" spans="5:6" ht="12.75">
      <c r="E58" s="38"/>
      <c r="F58" s="38"/>
    </row>
    <row r="59" spans="5:6" ht="12.75">
      <c r="E59" s="38"/>
      <c r="F59" s="38"/>
    </row>
    <row r="60" spans="5:6" ht="12.75">
      <c r="E60" s="38"/>
      <c r="F60" s="38"/>
    </row>
    <row r="61" spans="5:6" ht="12.75">
      <c r="E61" s="38"/>
      <c r="F61" s="38"/>
    </row>
    <row r="62" spans="5:6" ht="12.75">
      <c r="E62" s="38"/>
      <c r="F62" s="38"/>
    </row>
    <row r="63" spans="5:6" ht="12.75">
      <c r="E63" s="38"/>
      <c r="F63" s="38"/>
    </row>
    <row r="64" spans="5:6" ht="12.75">
      <c r="E64" s="38"/>
      <c r="F64" s="38"/>
    </row>
    <row r="65" spans="5:6" ht="12.75">
      <c r="E65" s="38"/>
      <c r="F65" s="38"/>
    </row>
    <row r="66" spans="5:6" ht="12.75">
      <c r="E66" s="38"/>
      <c r="F66" s="38"/>
    </row>
    <row r="67" spans="5:6" ht="12.75">
      <c r="E67" s="38"/>
      <c r="F67" s="38"/>
    </row>
    <row r="68" spans="5:6" ht="12.75">
      <c r="E68" s="38"/>
      <c r="F68" s="38"/>
    </row>
    <row r="69" spans="5:6" ht="12.75">
      <c r="E69" s="38"/>
      <c r="F69" s="38"/>
    </row>
    <row r="70" spans="5:6" ht="12.75">
      <c r="E70" s="38"/>
      <c r="F70" s="38"/>
    </row>
    <row r="71" spans="5:6" ht="12.75">
      <c r="E71" s="38"/>
      <c r="F71" s="38"/>
    </row>
    <row r="72" spans="5:6" ht="12.75">
      <c r="E72" s="38"/>
      <c r="F72" s="38"/>
    </row>
    <row r="73" spans="5:6" ht="12.75">
      <c r="E73" s="38"/>
      <c r="F73" s="38"/>
    </row>
    <row r="74" spans="5:6" ht="12.75">
      <c r="E74" s="38"/>
      <c r="F74" s="38"/>
    </row>
    <row r="75" spans="5:6" ht="12.75">
      <c r="E75" s="38"/>
      <c r="F75" s="38"/>
    </row>
    <row r="76" spans="5:6" ht="12.75">
      <c r="E76" s="38"/>
      <c r="F76" s="38"/>
    </row>
    <row r="77" spans="5:6" ht="12.75">
      <c r="E77" s="38"/>
      <c r="F77" s="38"/>
    </row>
    <row r="78" spans="5:6" ht="12.75">
      <c r="E78" s="38"/>
      <c r="F78" s="38"/>
    </row>
    <row r="79" spans="5:6" ht="12.75">
      <c r="E79" s="38"/>
      <c r="F79" s="38"/>
    </row>
    <row r="80" spans="5:6" ht="12.75">
      <c r="E80" s="38"/>
      <c r="F80" s="38"/>
    </row>
    <row r="81" spans="5:6" ht="12.75">
      <c r="E81" s="38"/>
      <c r="F81" s="38"/>
    </row>
    <row r="82" spans="5:6" ht="12.75">
      <c r="E82" s="38"/>
      <c r="F82" s="38"/>
    </row>
    <row r="83" spans="5:6" ht="12.75">
      <c r="E83" s="38"/>
      <c r="F83" s="38"/>
    </row>
    <row r="84" spans="5:6" ht="12.75">
      <c r="E84" s="38"/>
      <c r="F84" s="38"/>
    </row>
    <row r="85" spans="5:6" ht="12.75">
      <c r="E85" s="38"/>
      <c r="F85" s="38"/>
    </row>
    <row r="86" spans="5:6" ht="12.75">
      <c r="E86" s="38"/>
      <c r="F86" s="38"/>
    </row>
    <row r="87" spans="5:6" ht="12.75">
      <c r="E87" s="38"/>
      <c r="F87" s="38"/>
    </row>
    <row r="88" spans="5:6" ht="12.75">
      <c r="E88" s="38"/>
      <c r="F88" s="38"/>
    </row>
    <row r="89" spans="5:6" ht="12.75">
      <c r="E89" s="38"/>
      <c r="F89" s="38"/>
    </row>
    <row r="90" spans="5:6" ht="12.75">
      <c r="E90" s="38"/>
      <c r="F90" s="38"/>
    </row>
    <row r="91" spans="5:6" ht="12.75">
      <c r="E91" s="38"/>
      <c r="F91" s="38"/>
    </row>
    <row r="92" spans="5:6" ht="12.75">
      <c r="E92" s="38"/>
      <c r="F92" s="38"/>
    </row>
    <row r="93" spans="5:6" ht="12.75">
      <c r="E93" s="38"/>
      <c r="F93" s="38"/>
    </row>
    <row r="94" spans="5:6" ht="12.75">
      <c r="E94" s="38"/>
      <c r="F94" s="38"/>
    </row>
    <row r="95" spans="5:6" ht="12.75">
      <c r="E95" s="38"/>
      <c r="F95" s="38"/>
    </row>
    <row r="96" spans="5:6" ht="12.75">
      <c r="E96" s="38"/>
      <c r="F96" s="38"/>
    </row>
    <row r="97" spans="5:6" ht="12.75">
      <c r="E97" s="38"/>
      <c r="F97" s="38"/>
    </row>
    <row r="98" spans="5:6" ht="12.75">
      <c r="E98" s="38"/>
      <c r="F98" s="38"/>
    </row>
    <row r="99" spans="5:6" ht="12.75">
      <c r="E99" s="38"/>
      <c r="F99" s="38"/>
    </row>
    <row r="100" spans="5:6" ht="12.75">
      <c r="E100" s="38"/>
      <c r="F100" s="38"/>
    </row>
    <row r="101" spans="5:6" ht="12.75">
      <c r="E101" s="38"/>
      <c r="F101" s="38"/>
    </row>
    <row r="102" spans="5:6" ht="12.75">
      <c r="E102" s="38"/>
      <c r="F102" s="38"/>
    </row>
    <row r="103" spans="5:6" ht="12.75">
      <c r="E103" s="38"/>
      <c r="F103" s="38"/>
    </row>
    <row r="104" spans="5:6" ht="12.75">
      <c r="E104" s="38"/>
      <c r="F104" s="38"/>
    </row>
    <row r="105" spans="5:6" ht="12.75">
      <c r="E105" s="38"/>
      <c r="F105" s="38"/>
    </row>
    <row r="106" spans="5:6" ht="12.75">
      <c r="E106" s="38"/>
      <c r="F106" s="38"/>
    </row>
    <row r="107" spans="5:6" ht="12.75">
      <c r="E107" s="38"/>
      <c r="F107" s="38"/>
    </row>
    <row r="108" spans="5:6" ht="12.75">
      <c r="E108" s="38"/>
      <c r="F108" s="38"/>
    </row>
    <row r="109" spans="5:6" ht="12.75">
      <c r="E109" s="38"/>
      <c r="F109" s="38"/>
    </row>
    <row r="110" spans="5:6" ht="12.75">
      <c r="E110" s="38"/>
      <c r="F110" s="38"/>
    </row>
    <row r="111" spans="5:6" ht="12.75">
      <c r="E111" s="38"/>
      <c r="F111" s="38"/>
    </row>
    <row r="112" spans="5:6" ht="12.75">
      <c r="E112" s="38"/>
      <c r="F112" s="38"/>
    </row>
    <row r="113" spans="5:6" ht="12.75">
      <c r="E113" s="38"/>
      <c r="F113" s="38"/>
    </row>
    <row r="114" spans="5:6" ht="12.75">
      <c r="E114" s="38"/>
      <c r="F114" s="38"/>
    </row>
    <row r="115" spans="5:6" ht="12.75">
      <c r="E115" s="38"/>
      <c r="F115" s="38"/>
    </row>
    <row r="116" spans="5:6" ht="12.75">
      <c r="E116" s="38"/>
      <c r="F116" s="38"/>
    </row>
    <row r="117" spans="5:6" ht="12.75">
      <c r="E117" s="38"/>
      <c r="F117" s="38"/>
    </row>
    <row r="118" spans="5:6" ht="12.75">
      <c r="E118" s="38"/>
      <c r="F118" s="38"/>
    </row>
    <row r="119" spans="5:6" ht="12.75">
      <c r="E119" s="38"/>
      <c r="F119" s="38"/>
    </row>
    <row r="120" spans="5:6" ht="12.75">
      <c r="E120" s="38"/>
      <c r="F120" s="38"/>
    </row>
    <row r="121" spans="5:6" ht="12.75">
      <c r="E121" s="38"/>
      <c r="F121" s="38"/>
    </row>
    <row r="122" spans="5:6" ht="12.75">
      <c r="E122" s="38"/>
      <c r="F122" s="38"/>
    </row>
    <row r="123" spans="5:6" ht="12.75">
      <c r="E123" s="38"/>
      <c r="F123" s="38"/>
    </row>
    <row r="124" spans="5:6" ht="12.75">
      <c r="E124" s="38"/>
      <c r="F124" s="38"/>
    </row>
    <row r="125" spans="5:6" ht="12.75">
      <c r="E125" s="38"/>
      <c r="F125" s="38"/>
    </row>
    <row r="126" spans="5:6" ht="12.75">
      <c r="E126" s="38"/>
      <c r="F126" s="38"/>
    </row>
    <row r="127" spans="5:6" ht="12.75">
      <c r="E127" s="38"/>
      <c r="F127" s="38"/>
    </row>
    <row r="128" spans="5:6" ht="12.75">
      <c r="E128" s="38"/>
      <c r="F128" s="38"/>
    </row>
    <row r="129" spans="5:6" ht="12.75">
      <c r="E129" s="38"/>
      <c r="F129" s="38"/>
    </row>
    <row r="130" spans="5:6" ht="12.75">
      <c r="E130" s="38"/>
      <c r="F130" s="38"/>
    </row>
    <row r="131" spans="5:6" ht="12.75">
      <c r="E131" s="38"/>
      <c r="F131" s="38"/>
    </row>
    <row r="132" spans="5:6" ht="12.75">
      <c r="E132" s="38"/>
      <c r="F132" s="38"/>
    </row>
    <row r="133" spans="5:6" ht="12.75">
      <c r="E133" s="38"/>
      <c r="F133" s="38"/>
    </row>
    <row r="134" spans="5:6" ht="12.75">
      <c r="E134" s="38"/>
      <c r="F134" s="38"/>
    </row>
    <row r="135" spans="5:6" ht="12.75">
      <c r="E135" s="38"/>
      <c r="F135" s="38"/>
    </row>
    <row r="136" spans="5:6" ht="12.75">
      <c r="E136" s="38"/>
      <c r="F136" s="38"/>
    </row>
    <row r="137" spans="5:6" ht="12.75">
      <c r="E137" s="38"/>
      <c r="F137" s="38"/>
    </row>
    <row r="138" spans="5:6" ht="12.75">
      <c r="E138" s="38"/>
      <c r="F138" s="38"/>
    </row>
    <row r="139" spans="5:6" ht="12.75">
      <c r="E139" s="38"/>
      <c r="F139" s="38"/>
    </row>
    <row r="140" spans="5:6" ht="12.75">
      <c r="E140" s="38"/>
      <c r="F140" s="38"/>
    </row>
    <row r="141" spans="5:6" ht="12.75">
      <c r="E141" s="38"/>
      <c r="F141" s="38"/>
    </row>
    <row r="142" spans="5:6" ht="12.75">
      <c r="E142" s="38"/>
      <c r="F142" s="38"/>
    </row>
    <row r="143" spans="5:6" ht="12.75">
      <c r="E143" s="38"/>
      <c r="F143" s="38"/>
    </row>
    <row r="144" spans="5:6" ht="12.75">
      <c r="E144" s="38"/>
      <c r="F144" s="38"/>
    </row>
    <row r="145" spans="5:6" ht="12.75">
      <c r="E145" s="38"/>
      <c r="F145" s="38"/>
    </row>
    <row r="146" spans="5:6" ht="12.75">
      <c r="E146" s="38"/>
      <c r="F146" s="38"/>
    </row>
    <row r="147" spans="5:6" ht="12.75">
      <c r="E147" s="38"/>
      <c r="F147" s="38"/>
    </row>
    <row r="148" spans="5:6" ht="12.75">
      <c r="E148" s="38"/>
      <c r="F148" s="38"/>
    </row>
    <row r="149" spans="5:6" ht="12.75">
      <c r="E149" s="38"/>
      <c r="F149" s="38"/>
    </row>
    <row r="150" spans="5:6" ht="12.75">
      <c r="E150" s="38"/>
      <c r="F150" s="38"/>
    </row>
    <row r="151" spans="5:6" ht="12.75">
      <c r="E151" s="38"/>
      <c r="F151" s="38"/>
    </row>
    <row r="152" spans="5:6" ht="12.75">
      <c r="E152" s="38"/>
      <c r="F152" s="38"/>
    </row>
    <row r="153" spans="5:6" ht="12.75">
      <c r="E153" s="38"/>
      <c r="F153" s="38"/>
    </row>
    <row r="154" spans="5:6" ht="12.75">
      <c r="E154" s="38"/>
      <c r="F154" s="38"/>
    </row>
    <row r="155" spans="5:6" ht="12.75">
      <c r="E155" s="38"/>
      <c r="F155" s="38"/>
    </row>
    <row r="156" spans="5:6" ht="12.75">
      <c r="E156" s="38"/>
      <c r="F156" s="38"/>
    </row>
    <row r="157" spans="5:6" ht="12.75">
      <c r="E157" s="38"/>
      <c r="F157" s="38"/>
    </row>
    <row r="158" spans="5:6" ht="12.75">
      <c r="E158" s="38"/>
      <c r="F158" s="38"/>
    </row>
    <row r="159" spans="5:6" ht="12.75">
      <c r="E159" s="38"/>
      <c r="F159" s="38"/>
    </row>
    <row r="160" spans="5:6" ht="12.75">
      <c r="E160" s="38"/>
      <c r="F160" s="38"/>
    </row>
    <row r="161" spans="5:6" ht="12.75">
      <c r="E161" s="38"/>
      <c r="F161" s="38"/>
    </row>
    <row r="162" spans="5:6" ht="12.75">
      <c r="E162" s="38"/>
      <c r="F162" s="38"/>
    </row>
    <row r="163" spans="5:6" ht="12.75">
      <c r="E163" s="38"/>
      <c r="F163" s="38"/>
    </row>
    <row r="164" spans="5:6" ht="12.75">
      <c r="E164" s="38"/>
      <c r="F164" s="38"/>
    </row>
    <row r="165" spans="5:6" ht="12.75">
      <c r="E165" s="38"/>
      <c r="F165" s="38"/>
    </row>
    <row r="166" spans="5:6" ht="12.75">
      <c r="E166" s="38"/>
      <c r="F166" s="38"/>
    </row>
    <row r="167" spans="5:6" ht="12.75">
      <c r="E167" s="38"/>
      <c r="F167" s="38"/>
    </row>
    <row r="168" spans="5:6" ht="12.75">
      <c r="E168" s="38"/>
      <c r="F168" s="38"/>
    </row>
    <row r="169" spans="5:6" ht="12.75">
      <c r="E169" s="38"/>
      <c r="F169" s="38"/>
    </row>
    <row r="170" spans="5:6" ht="12.75">
      <c r="E170" s="38"/>
      <c r="F170" s="38"/>
    </row>
    <row r="171" spans="5:6" ht="12.75">
      <c r="E171" s="38"/>
      <c r="F171" s="38"/>
    </row>
    <row r="172" spans="5:6" ht="12.75">
      <c r="E172" s="38"/>
      <c r="F172" s="38"/>
    </row>
    <row r="173" spans="5:6" ht="12.75">
      <c r="E173" s="38"/>
      <c r="F173" s="38"/>
    </row>
    <row r="174" spans="5:6" ht="12.75">
      <c r="E174" s="38"/>
      <c r="F174" s="38"/>
    </row>
    <row r="175" spans="5:6" ht="12.75">
      <c r="E175" s="38"/>
      <c r="F175" s="38"/>
    </row>
    <row r="176" spans="5:6" ht="12.75">
      <c r="E176" s="38"/>
      <c r="F176" s="38"/>
    </row>
    <row r="177" spans="5:6" ht="12.75">
      <c r="E177" s="38"/>
      <c r="F177" s="38"/>
    </row>
    <row r="178" spans="5:6" ht="12.75">
      <c r="E178" s="38"/>
      <c r="F178" s="38"/>
    </row>
    <row r="179" spans="5:6" ht="12.75">
      <c r="E179" s="38"/>
      <c r="F179" s="38"/>
    </row>
    <row r="180" spans="5:6" ht="12.75">
      <c r="E180" s="38"/>
      <c r="F180" s="38"/>
    </row>
    <row r="181" spans="5:6" ht="12.75">
      <c r="E181" s="38"/>
      <c r="F181" s="38"/>
    </row>
    <row r="182" spans="5:6" ht="12.75">
      <c r="E182" s="38"/>
      <c r="F182" s="38"/>
    </row>
    <row r="183" spans="5:6" ht="12.75">
      <c r="E183" s="38"/>
      <c r="F183" s="38"/>
    </row>
    <row r="184" spans="5:6" ht="12.75">
      <c r="E184" s="38"/>
      <c r="F184" s="38"/>
    </row>
    <row r="185" spans="5:6" ht="12.75">
      <c r="E185" s="38"/>
      <c r="F185" s="38"/>
    </row>
    <row r="186" spans="5:6" ht="12.75">
      <c r="E186" s="38"/>
      <c r="F186" s="38"/>
    </row>
    <row r="187" spans="5:6" ht="12.75">
      <c r="E187" s="38"/>
      <c r="F187" s="38"/>
    </row>
    <row r="188" spans="5:6" ht="12.75">
      <c r="E188" s="38"/>
      <c r="F188" s="38"/>
    </row>
    <row r="189" spans="5:6" ht="12.75">
      <c r="E189" s="38"/>
      <c r="F189" s="38"/>
    </row>
    <row r="190" spans="5:6" ht="12.75">
      <c r="E190" s="38"/>
      <c r="F190" s="38"/>
    </row>
    <row r="191" spans="5:6" ht="12.75">
      <c r="E191" s="38"/>
      <c r="F191" s="38"/>
    </row>
    <row r="192" spans="5:6" ht="12.75">
      <c r="E192" s="38"/>
      <c r="F192" s="38"/>
    </row>
    <row r="193" spans="5:6" ht="12.75">
      <c r="E193" s="38"/>
      <c r="F193" s="38"/>
    </row>
    <row r="194" spans="5:6" ht="12.75">
      <c r="E194" s="38"/>
      <c r="F194" s="38"/>
    </row>
    <row r="195" spans="5:6" ht="12.75">
      <c r="E195" s="38"/>
      <c r="F195" s="38"/>
    </row>
    <row r="196" spans="5:6" ht="12.75">
      <c r="E196" s="38"/>
      <c r="F196" s="38"/>
    </row>
    <row r="197" spans="5:6" ht="12.75">
      <c r="E197" s="38"/>
      <c r="F197" s="38"/>
    </row>
    <row r="198" spans="5:6" ht="12.75">
      <c r="E198" s="38"/>
      <c r="F198" s="38"/>
    </row>
    <row r="199" spans="5:6" ht="12.75">
      <c r="E199" s="38"/>
      <c r="F199" s="38"/>
    </row>
    <row r="200" spans="5:6" ht="12.75">
      <c r="E200" s="38"/>
      <c r="F200" s="38"/>
    </row>
    <row r="201" spans="5:6" ht="12.75">
      <c r="E201" s="38"/>
      <c r="F201" s="38"/>
    </row>
    <row r="202" spans="5:6" ht="12.75">
      <c r="E202" s="38"/>
      <c r="F202" s="38"/>
    </row>
    <row r="203" spans="5:6" ht="12.75">
      <c r="E203" s="38"/>
      <c r="F203" s="38"/>
    </row>
    <row r="204" spans="5:6" ht="12.75">
      <c r="E204" s="38"/>
      <c r="F204" s="38"/>
    </row>
    <row r="205" spans="5:6" ht="12.75">
      <c r="E205" s="38"/>
      <c r="F205" s="38"/>
    </row>
    <row r="206" spans="5:6" ht="12.75">
      <c r="E206" s="38"/>
      <c r="F206" s="38"/>
    </row>
    <row r="207" spans="5:6" ht="12.75">
      <c r="E207" s="38"/>
      <c r="F207" s="38"/>
    </row>
    <row r="208" spans="5:6" ht="12.75">
      <c r="E208" s="38"/>
      <c r="F208" s="38"/>
    </row>
    <row r="209" spans="5:6" ht="12.75">
      <c r="E209" s="38"/>
      <c r="F209" s="38"/>
    </row>
    <row r="210" spans="5:6" ht="12.75">
      <c r="E210" s="38"/>
      <c r="F210" s="38"/>
    </row>
    <row r="211" spans="5:6" ht="12.75">
      <c r="E211" s="38"/>
      <c r="F211" s="38"/>
    </row>
    <row r="212" spans="5:6" ht="12.75">
      <c r="E212" s="38"/>
      <c r="F212" s="38"/>
    </row>
    <row r="213" spans="5:6" ht="12.75">
      <c r="E213" s="38"/>
      <c r="F213" s="38"/>
    </row>
    <row r="214" spans="5:6" ht="12.75">
      <c r="E214" s="38"/>
      <c r="F214" s="38"/>
    </row>
    <row r="215" spans="5:6" ht="12.75">
      <c r="E215" s="38"/>
      <c r="F215" s="38"/>
    </row>
    <row r="216" spans="5:6" ht="12.75">
      <c r="E216" s="38"/>
      <c r="F216" s="38"/>
    </row>
    <row r="217" spans="5:6" ht="12.75">
      <c r="E217" s="38"/>
      <c r="F217" s="38"/>
    </row>
    <row r="218" spans="5:6" ht="12.75">
      <c r="E218" s="38"/>
      <c r="F218" s="38"/>
    </row>
    <row r="219" spans="5:6" ht="12.75">
      <c r="E219" s="38"/>
      <c r="F219" s="38"/>
    </row>
    <row r="220" spans="5:6" ht="12.75">
      <c r="E220" s="38"/>
      <c r="F220" s="38"/>
    </row>
    <row r="221" spans="5:6" ht="12.75">
      <c r="E221" s="38"/>
      <c r="F221" s="38"/>
    </row>
    <row r="222" spans="5:6" ht="12.75">
      <c r="E222" s="38"/>
      <c r="F222" s="38"/>
    </row>
    <row r="223" spans="5:6" ht="12.75">
      <c r="E223" s="38"/>
      <c r="F223" s="38"/>
    </row>
    <row r="224" spans="5:6" ht="12.75">
      <c r="E224" s="38"/>
      <c r="F224" s="38"/>
    </row>
    <row r="225" spans="5:6" ht="12.75">
      <c r="E225" s="38"/>
      <c r="F225" s="38"/>
    </row>
    <row r="226" spans="5:6" ht="12.75">
      <c r="E226" s="38"/>
      <c r="F226" s="38"/>
    </row>
    <row r="227" spans="5:6" ht="12.75">
      <c r="E227" s="38"/>
      <c r="F227" s="38"/>
    </row>
    <row r="228" spans="5:6" ht="12.75">
      <c r="E228" s="38"/>
      <c r="F228" s="38"/>
    </row>
    <row r="229" spans="5:6" ht="12.75">
      <c r="E229" s="38"/>
      <c r="F229" s="38"/>
    </row>
    <row r="230" spans="5:6" ht="12.75">
      <c r="E230" s="38"/>
      <c r="F230" s="38"/>
    </row>
    <row r="231" spans="5:6" ht="12.75">
      <c r="E231" s="38"/>
      <c r="F231" s="38"/>
    </row>
    <row r="232" spans="5:6" ht="12.75">
      <c r="E232" s="38"/>
      <c r="F232" s="38"/>
    </row>
    <row r="233" spans="5:6" ht="12.75">
      <c r="E233" s="38"/>
      <c r="F233" s="38"/>
    </row>
    <row r="234" spans="5:6" ht="12.75">
      <c r="E234" s="38"/>
      <c r="F234" s="38"/>
    </row>
    <row r="235" spans="5:6" ht="12.75">
      <c r="E235" s="38"/>
      <c r="F235" s="38"/>
    </row>
    <row r="236" spans="5:6" ht="12.75">
      <c r="E236" s="38"/>
      <c r="F236" s="38"/>
    </row>
    <row r="237" spans="5:6" ht="12.75">
      <c r="E237" s="38"/>
      <c r="F237" s="38"/>
    </row>
    <row r="238" spans="5:6" ht="12.75">
      <c r="E238" s="38"/>
      <c r="F238" s="38"/>
    </row>
    <row r="239" spans="5:6" ht="12.75">
      <c r="E239" s="38"/>
      <c r="F239" s="38"/>
    </row>
    <row r="240" spans="5:6" ht="12.75">
      <c r="E240" s="38"/>
      <c r="F240" s="38"/>
    </row>
    <row r="241" spans="5:6" ht="12.75">
      <c r="E241" s="38"/>
      <c r="F241" s="38"/>
    </row>
    <row r="242" spans="5:6" ht="12.75">
      <c r="E242" s="38"/>
      <c r="F242" s="38"/>
    </row>
    <row r="243" spans="5:6" ht="12.75">
      <c r="E243" s="38"/>
      <c r="F243" s="38"/>
    </row>
    <row r="244" spans="5:6" ht="12.75">
      <c r="E244" s="38"/>
      <c r="F244" s="38"/>
    </row>
    <row r="245" spans="5:6" ht="12.75">
      <c r="E245" s="38"/>
      <c r="F245" s="38"/>
    </row>
    <row r="246" spans="5:6" ht="12.75">
      <c r="E246" s="38"/>
      <c r="F246" s="38"/>
    </row>
    <row r="247" spans="5:6" ht="12.75">
      <c r="E247" s="38"/>
      <c r="F247" s="38"/>
    </row>
    <row r="248" spans="5:6" ht="12.75">
      <c r="E248" s="38"/>
      <c r="F248" s="38"/>
    </row>
    <row r="249" spans="5:6" ht="12.75">
      <c r="E249" s="38"/>
      <c r="F249" s="38"/>
    </row>
    <row r="250" spans="5:6" ht="12.75">
      <c r="E250" s="38"/>
      <c r="F250" s="38"/>
    </row>
    <row r="251" spans="5:6" ht="12.75">
      <c r="E251" s="38"/>
      <c r="F251" s="38"/>
    </row>
    <row r="252" spans="5:6" ht="12.75">
      <c r="E252" s="38"/>
      <c r="F252" s="38"/>
    </row>
    <row r="253" spans="5:6" ht="12.75">
      <c r="E253" s="38"/>
      <c r="F253" s="38"/>
    </row>
    <row r="254" spans="5:6" ht="12.75">
      <c r="E254" s="38"/>
      <c r="F254" s="38"/>
    </row>
    <row r="255" spans="5:6" ht="12.75">
      <c r="E255" s="38"/>
      <c r="F255" s="38"/>
    </row>
    <row r="256" spans="5:6" ht="12.75">
      <c r="E256" s="38"/>
      <c r="F256" s="38"/>
    </row>
    <row r="257" spans="5:6" ht="12.75">
      <c r="E257" s="38"/>
      <c r="F257" s="38"/>
    </row>
    <row r="258" spans="5:6" ht="12.75">
      <c r="E258" s="38"/>
      <c r="F258" s="38"/>
    </row>
    <row r="259" spans="5:6" ht="12.75">
      <c r="E259" s="38"/>
      <c r="F259" s="38"/>
    </row>
    <row r="260" spans="5:6" ht="12.75">
      <c r="E260" s="38"/>
      <c r="F260" s="38"/>
    </row>
    <row r="261" spans="5:6" ht="12.75">
      <c r="E261" s="38"/>
      <c r="F261" s="38"/>
    </row>
    <row r="262" spans="5:6" ht="12.75">
      <c r="E262" s="38"/>
      <c r="F262" s="38"/>
    </row>
    <row r="263" spans="5:6" ht="12.75">
      <c r="E263" s="38"/>
      <c r="F263" s="38"/>
    </row>
    <row r="264" spans="5:6" ht="12.75">
      <c r="E264" s="38"/>
      <c r="F264" s="38"/>
    </row>
    <row r="265" spans="5:6" ht="12.75">
      <c r="E265" s="38"/>
      <c r="F265" s="38"/>
    </row>
    <row r="266" spans="5:6" ht="12.75">
      <c r="E266" s="38"/>
      <c r="F266" s="38"/>
    </row>
    <row r="267" spans="5:6" ht="12.75">
      <c r="E267" s="38"/>
      <c r="F267" s="38"/>
    </row>
    <row r="268" spans="5:6" ht="12.75">
      <c r="E268" s="38"/>
      <c r="F268" s="38"/>
    </row>
    <row r="269" spans="5:6" ht="12.75">
      <c r="E269" s="38"/>
      <c r="F269" s="38"/>
    </row>
    <row r="270" spans="5:6" ht="12.75">
      <c r="E270" s="38"/>
      <c r="F270" s="38"/>
    </row>
    <row r="271" spans="5:6" ht="12.75">
      <c r="E271" s="38"/>
      <c r="F271" s="38"/>
    </row>
    <row r="272" spans="5:6" ht="12.75">
      <c r="E272" s="38"/>
      <c r="F272" s="38"/>
    </row>
    <row r="273" spans="5:6" ht="12.75">
      <c r="E273" s="38"/>
      <c r="F273" s="38"/>
    </row>
    <row r="274" spans="5:6" ht="12.75">
      <c r="E274" s="38"/>
      <c r="F274" s="38"/>
    </row>
    <row r="275" spans="5:6" ht="12.75">
      <c r="E275" s="38"/>
      <c r="F275" s="38"/>
    </row>
    <row r="276" spans="5:6" ht="12.75">
      <c r="E276" s="38"/>
      <c r="F276" s="38"/>
    </row>
    <row r="277" spans="5:6" ht="12.75">
      <c r="E277" s="38"/>
      <c r="F277" s="38"/>
    </row>
    <row r="278" spans="5:6" ht="12.75">
      <c r="E278" s="38"/>
      <c r="F278" s="38"/>
    </row>
    <row r="279" spans="5:6" ht="12.75">
      <c r="E279" s="38"/>
      <c r="F279" s="38"/>
    </row>
    <row r="280" spans="5:6" ht="12.75">
      <c r="E280" s="38"/>
      <c r="F280" s="38"/>
    </row>
    <row r="281" spans="5:6" ht="12.75">
      <c r="E281" s="38"/>
      <c r="F281" s="38"/>
    </row>
    <row r="282" spans="5:6" ht="12.75">
      <c r="E282" s="38"/>
      <c r="F282" s="38"/>
    </row>
    <row r="283" spans="5:6" ht="12.75">
      <c r="E283" s="38"/>
      <c r="F283" s="38"/>
    </row>
    <row r="284" spans="5:6" ht="12.75">
      <c r="E284" s="38"/>
      <c r="F284" s="38"/>
    </row>
    <row r="285" spans="5:6" ht="12.75">
      <c r="E285" s="38"/>
      <c r="F285" s="38"/>
    </row>
    <row r="286" spans="5:6" ht="12.75">
      <c r="E286" s="38"/>
      <c r="F286" s="38"/>
    </row>
    <row r="287" spans="5:6" ht="12.75">
      <c r="E287" s="38"/>
      <c r="F287" s="38"/>
    </row>
    <row r="288" spans="5:6" ht="12.75">
      <c r="E288" s="38"/>
      <c r="F288" s="38"/>
    </row>
    <row r="289" spans="5:6" ht="12.75">
      <c r="E289" s="38"/>
      <c r="F289" s="38"/>
    </row>
    <row r="290" spans="5:6" ht="12.75">
      <c r="E290" s="38"/>
      <c r="F290" s="38"/>
    </row>
    <row r="291" spans="5:6" ht="12.75">
      <c r="E291" s="38"/>
      <c r="F291" s="38"/>
    </row>
    <row r="292" spans="5:6" ht="12.75">
      <c r="E292" s="38"/>
      <c r="F292" s="38"/>
    </row>
    <row r="293" spans="5:6" ht="12.75">
      <c r="E293" s="38"/>
      <c r="F293" s="38"/>
    </row>
    <row r="294" spans="5:6" ht="12.75">
      <c r="E294" s="38"/>
      <c r="F294" s="38"/>
    </row>
    <row r="295" spans="5:6" ht="12.75">
      <c r="E295" s="38"/>
      <c r="F295" s="38"/>
    </row>
    <row r="296" spans="5:6" ht="12.75">
      <c r="E296" s="38"/>
      <c r="F296" s="38"/>
    </row>
    <row r="297" spans="5:6" ht="12.75">
      <c r="E297" s="38"/>
      <c r="F297" s="38"/>
    </row>
    <row r="298" spans="5:6" ht="12.75">
      <c r="E298" s="38"/>
      <c r="F298" s="38"/>
    </row>
    <row r="299" spans="5:6" ht="12.75">
      <c r="E299" s="38"/>
      <c r="F299" s="38"/>
    </row>
    <row r="300" spans="5:6" ht="12.75">
      <c r="E300" s="38"/>
      <c r="F300" s="38"/>
    </row>
    <row r="301" spans="5:6" ht="12.75">
      <c r="E301" s="38"/>
      <c r="F301" s="38"/>
    </row>
    <row r="302" spans="5:6" ht="12.75">
      <c r="E302" s="38"/>
      <c r="F302" s="38"/>
    </row>
    <row r="303" spans="5:6" ht="12.75">
      <c r="E303" s="38"/>
      <c r="F303" s="38"/>
    </row>
    <row r="304" spans="5:6" ht="12.75">
      <c r="E304" s="38"/>
      <c r="F304" s="38"/>
    </row>
    <row r="305" spans="5:6" ht="12.75">
      <c r="E305" s="38"/>
      <c r="F305" s="38"/>
    </row>
    <row r="306" spans="5:6" ht="12.75">
      <c r="E306" s="38"/>
      <c r="F306" s="38"/>
    </row>
    <row r="307" spans="5:6" ht="12.75">
      <c r="E307" s="38"/>
      <c r="F307" s="38"/>
    </row>
    <row r="308" spans="5:6" ht="12.75">
      <c r="E308" s="38"/>
      <c r="F308" s="38"/>
    </row>
    <row r="309" spans="5:6" ht="12.75">
      <c r="E309" s="38"/>
      <c r="F309" s="38"/>
    </row>
    <row r="310" spans="5:6" ht="12.75">
      <c r="E310" s="38"/>
      <c r="F310" s="38"/>
    </row>
    <row r="311" spans="5:6" ht="12.75">
      <c r="E311" s="38"/>
      <c r="F311" s="38"/>
    </row>
    <row r="312" spans="5:6" ht="12.75">
      <c r="E312" s="38"/>
      <c r="F312" s="38"/>
    </row>
    <row r="313" spans="5:6" ht="12.75">
      <c r="E313" s="38"/>
      <c r="F313" s="38"/>
    </row>
    <row r="314" spans="5:6" ht="12.75">
      <c r="E314" s="38"/>
      <c r="F314" s="38"/>
    </row>
    <row r="315" spans="5:6" ht="12.75">
      <c r="E315" s="38"/>
      <c r="F315" s="38"/>
    </row>
    <row r="316" spans="5:6" ht="12.75">
      <c r="E316" s="38"/>
      <c r="F316" s="38"/>
    </row>
    <row r="317" spans="5:6" ht="12.75">
      <c r="E317" s="38"/>
      <c r="F317" s="38"/>
    </row>
    <row r="318" spans="5:6" ht="12.75">
      <c r="E318" s="38"/>
      <c r="F318" s="38"/>
    </row>
    <row r="319" spans="5:6" ht="12.75">
      <c r="E319" s="38"/>
      <c r="F319" s="38"/>
    </row>
    <row r="320" spans="5:6" ht="12.75">
      <c r="E320" s="38"/>
      <c r="F320" s="38"/>
    </row>
    <row r="321" spans="5:6" ht="12.75">
      <c r="E321" s="38"/>
      <c r="F321" s="38"/>
    </row>
    <row r="322" spans="5:6" ht="12.75">
      <c r="E322" s="38"/>
      <c r="F322" s="38"/>
    </row>
    <row r="323" spans="5:6" ht="12.75">
      <c r="E323" s="38"/>
      <c r="F323" s="38"/>
    </row>
    <row r="324" spans="5:6" ht="12.75">
      <c r="E324" s="38"/>
      <c r="F324" s="38"/>
    </row>
    <row r="325" spans="5:6" ht="12.75">
      <c r="E325" s="38"/>
      <c r="F325" s="38"/>
    </row>
    <row r="326" spans="5:6" ht="12.75">
      <c r="E326" s="38"/>
      <c r="F326" s="38"/>
    </row>
    <row r="327" spans="5:6" ht="12.75">
      <c r="E327" s="38"/>
      <c r="F327" s="38"/>
    </row>
    <row r="328" spans="5:6" ht="12.75">
      <c r="E328" s="38"/>
      <c r="F328" s="38"/>
    </row>
    <row r="329" spans="5:6" ht="12.75">
      <c r="E329" s="38"/>
      <c r="F329" s="38"/>
    </row>
    <row r="330" spans="5:6" ht="12.75">
      <c r="E330" s="38"/>
      <c r="F330" s="38"/>
    </row>
    <row r="331" spans="5:6" ht="12.75">
      <c r="E331" s="38"/>
      <c r="F331" s="38"/>
    </row>
    <row r="332" spans="5:6" ht="12.75">
      <c r="E332" s="38"/>
      <c r="F332" s="38"/>
    </row>
    <row r="333" spans="5:6" ht="12.75">
      <c r="E333" s="38"/>
      <c r="F333" s="38"/>
    </row>
    <row r="334" spans="5:6" ht="12.75">
      <c r="E334" s="38"/>
      <c r="F334" s="38"/>
    </row>
    <row r="335" spans="5:6" ht="12.75">
      <c r="E335" s="38"/>
      <c r="F335" s="38"/>
    </row>
    <row r="336" spans="5:6" ht="12.75">
      <c r="E336" s="38"/>
      <c r="F336" s="38"/>
    </row>
    <row r="337" spans="5:6" ht="12.75">
      <c r="E337" s="38"/>
      <c r="F337" s="38"/>
    </row>
    <row r="338" spans="5:6" ht="12.75">
      <c r="E338" s="38"/>
      <c r="F338" s="38"/>
    </row>
    <row r="339" spans="5:6" ht="12.75">
      <c r="E339" s="38"/>
      <c r="F339" s="38"/>
    </row>
    <row r="340" spans="5:6" ht="12.75">
      <c r="E340" s="38"/>
      <c r="F340" s="38"/>
    </row>
    <row r="341" spans="5:6" ht="12.75">
      <c r="E341" s="38"/>
      <c r="F341" s="38"/>
    </row>
    <row r="342" spans="5:6" ht="12.75">
      <c r="E342" s="38"/>
      <c r="F342" s="38"/>
    </row>
    <row r="343" spans="5:6" ht="12.75">
      <c r="E343" s="38"/>
      <c r="F343" s="38"/>
    </row>
    <row r="344" spans="5:6" ht="12.75">
      <c r="E344" s="38"/>
      <c r="F344" s="38"/>
    </row>
    <row r="345" spans="5:6" ht="12.75">
      <c r="E345" s="38"/>
      <c r="F345" s="38"/>
    </row>
    <row r="346" spans="5:6" ht="12.75">
      <c r="E346" s="38"/>
      <c r="F346" s="38"/>
    </row>
    <row r="347" spans="5:6" ht="12.75">
      <c r="E347" s="38"/>
      <c r="F347" s="38"/>
    </row>
    <row r="348" spans="5:6" ht="12.75">
      <c r="E348" s="38"/>
      <c r="F348" s="38"/>
    </row>
    <row r="349" spans="5:6" ht="12.75">
      <c r="E349" s="38"/>
      <c r="F349" s="38"/>
    </row>
    <row r="350" spans="5:6" ht="12.75">
      <c r="E350" s="38"/>
      <c r="F350" s="38"/>
    </row>
    <row r="351" spans="5:6" ht="12.75">
      <c r="E351" s="38"/>
      <c r="F351" s="38"/>
    </row>
    <row r="352" spans="5:6" ht="12.75">
      <c r="E352" s="38"/>
      <c r="F352" s="38"/>
    </row>
    <row r="353" spans="5:6" ht="12.75">
      <c r="E353" s="38"/>
      <c r="F353" s="38"/>
    </row>
    <row r="354" spans="5:6" ht="12.75">
      <c r="E354" s="38"/>
      <c r="F354" s="38"/>
    </row>
    <row r="355" spans="5:6" ht="12.75">
      <c r="E355" s="38"/>
      <c r="F355" s="38"/>
    </row>
    <row r="356" spans="5:6" ht="12.75">
      <c r="E356" s="38"/>
      <c r="F356" s="38"/>
    </row>
    <row r="357" spans="5:6" ht="12.75">
      <c r="E357" s="38"/>
      <c r="F357" s="38"/>
    </row>
    <row r="358" spans="5:6" ht="12.75">
      <c r="E358" s="38"/>
      <c r="F358" s="38"/>
    </row>
    <row r="359" spans="5:6" ht="12.75">
      <c r="E359" s="38"/>
      <c r="F359" s="38"/>
    </row>
    <row r="360" spans="5:6" ht="12.75">
      <c r="E360" s="38"/>
      <c r="F360" s="38"/>
    </row>
    <row r="361" spans="5:6" ht="12.75">
      <c r="E361" s="38"/>
      <c r="F361" s="38"/>
    </row>
    <row r="362" spans="5:6" ht="12.75">
      <c r="E362" s="38"/>
      <c r="F362" s="38"/>
    </row>
    <row r="363" spans="5:6" ht="12.75">
      <c r="E363" s="38"/>
      <c r="F363" s="38"/>
    </row>
    <row r="364" spans="5:6" ht="12.75">
      <c r="E364" s="38"/>
      <c r="F364" s="38"/>
    </row>
    <row r="365" spans="5:6" ht="12.75">
      <c r="E365" s="38"/>
      <c r="F365" s="38"/>
    </row>
    <row r="366" spans="5:6" ht="12.75">
      <c r="E366" s="38"/>
      <c r="F366" s="38"/>
    </row>
    <row r="367" spans="5:6" ht="12.75">
      <c r="E367" s="38"/>
      <c r="F367" s="38"/>
    </row>
    <row r="368" spans="5:6" ht="12.75">
      <c r="E368" s="38"/>
      <c r="F368" s="38"/>
    </row>
    <row r="369" spans="5:6" ht="12.75">
      <c r="E369" s="38"/>
      <c r="F369" s="38"/>
    </row>
    <row r="370" spans="5:6" ht="12.75">
      <c r="E370" s="38"/>
      <c r="F370" s="38"/>
    </row>
    <row r="371" spans="5:6" ht="12.75">
      <c r="E371" s="38"/>
      <c r="F371" s="38"/>
    </row>
    <row r="372" spans="5:6" ht="12.75">
      <c r="E372" s="38"/>
      <c r="F372" s="38"/>
    </row>
    <row r="373" spans="5:6" ht="12.75">
      <c r="E373" s="38"/>
      <c r="F373" s="38"/>
    </row>
    <row r="374" spans="5:6" ht="12.75">
      <c r="E374" s="38"/>
      <c r="F374" s="38"/>
    </row>
    <row r="375" spans="5:6" ht="12.75">
      <c r="E375" s="38"/>
      <c r="F375" s="38"/>
    </row>
    <row r="376" spans="5:6" ht="12.75">
      <c r="E376" s="38"/>
      <c r="F376" s="38"/>
    </row>
    <row r="377" spans="5:6" ht="12.75">
      <c r="E377" s="38"/>
      <c r="F377" s="38"/>
    </row>
    <row r="378" spans="5:6" ht="12.75">
      <c r="E378" s="38"/>
      <c r="F378" s="38"/>
    </row>
    <row r="379" spans="5:6" ht="12.75">
      <c r="E379" s="38"/>
      <c r="F379" s="38"/>
    </row>
    <row r="380" spans="5:6" ht="12.75">
      <c r="E380" s="38"/>
      <c r="F380" s="38"/>
    </row>
    <row r="381" spans="5:6" ht="12.75">
      <c r="E381" s="38"/>
      <c r="F381" s="38"/>
    </row>
    <row r="382" spans="5:6" ht="12.75">
      <c r="E382" s="38"/>
      <c r="F382" s="38"/>
    </row>
    <row r="383" spans="5:6" ht="12.75">
      <c r="E383" s="38"/>
      <c r="F383" s="38"/>
    </row>
    <row r="384" spans="5:6" ht="12.75">
      <c r="E384" s="38"/>
      <c r="F384" s="38"/>
    </row>
    <row r="385" spans="5:6" ht="12.75">
      <c r="E385" s="38"/>
      <c r="F385" s="38"/>
    </row>
    <row r="386" spans="5:6" ht="12.75">
      <c r="E386" s="38"/>
      <c r="F386" s="38"/>
    </row>
    <row r="387" spans="5:6" ht="12.75">
      <c r="E387" s="38"/>
      <c r="F387" s="38"/>
    </row>
    <row r="388" spans="5:6" ht="12.75">
      <c r="E388" s="38"/>
      <c r="F388" s="38"/>
    </row>
    <row r="389" spans="5:6" ht="12.75">
      <c r="E389" s="38"/>
      <c r="F389" s="38"/>
    </row>
    <row r="390" spans="5:6" ht="12.75">
      <c r="E390" s="38"/>
      <c r="F390" s="38"/>
    </row>
    <row r="391" spans="5:6" ht="12.75">
      <c r="E391" s="38"/>
      <c r="F391" s="38"/>
    </row>
    <row r="392" spans="5:6" ht="12.75">
      <c r="E392" s="38"/>
      <c r="F392" s="38"/>
    </row>
    <row r="393" spans="5:6" ht="12.75">
      <c r="E393" s="38"/>
      <c r="F393" s="38"/>
    </row>
    <row r="394" spans="5:6" ht="12.75">
      <c r="E394" s="38"/>
      <c r="F394" s="38"/>
    </row>
    <row r="395" spans="5:6" ht="12.75">
      <c r="E395" s="38"/>
      <c r="F395" s="38"/>
    </row>
    <row r="396" spans="5:6" ht="12.75">
      <c r="E396" s="38"/>
      <c r="F396" s="38"/>
    </row>
    <row r="397" spans="5:6" ht="12.75">
      <c r="E397" s="38"/>
      <c r="F397" s="38"/>
    </row>
    <row r="398" spans="5:6" ht="12.75">
      <c r="E398" s="38"/>
      <c r="F398" s="38"/>
    </row>
    <row r="399" spans="5:6" ht="12.75">
      <c r="E399" s="38"/>
      <c r="F399" s="38"/>
    </row>
    <row r="400" spans="5:6" ht="12.75">
      <c r="E400" s="38"/>
      <c r="F400" s="38"/>
    </row>
    <row r="401" spans="5:6" ht="12.75">
      <c r="E401" s="38"/>
      <c r="F401" s="38"/>
    </row>
    <row r="402" spans="5:6" ht="12.75">
      <c r="E402" s="38"/>
      <c r="F402" s="38"/>
    </row>
    <row r="403" spans="5:6" ht="12.75">
      <c r="E403" s="38"/>
      <c r="F403" s="38"/>
    </row>
    <row r="404" spans="5:6" ht="12.75">
      <c r="E404" s="38"/>
      <c r="F404" s="38"/>
    </row>
    <row r="405" spans="5:6" ht="12.75">
      <c r="E405" s="38"/>
      <c r="F405" s="38"/>
    </row>
    <row r="406" spans="5:6" ht="12.75">
      <c r="E406" s="38"/>
      <c r="F406" s="38"/>
    </row>
    <row r="407" spans="5:6" ht="12.75">
      <c r="E407" s="38"/>
      <c r="F407" s="38"/>
    </row>
    <row r="408" spans="5:6" ht="12.75">
      <c r="E408" s="38"/>
      <c r="F408" s="38"/>
    </row>
    <row r="409" spans="5:6" ht="12.75">
      <c r="E409" s="38"/>
      <c r="F409" s="38"/>
    </row>
    <row r="410" spans="5:6" ht="12.75">
      <c r="E410" s="38"/>
      <c r="F410" s="38"/>
    </row>
    <row r="411" spans="5:6" ht="12.75">
      <c r="E411" s="38"/>
      <c r="F411" s="38"/>
    </row>
    <row r="412" spans="5:6" ht="12.75">
      <c r="E412" s="38"/>
      <c r="F412" s="38"/>
    </row>
    <row r="413" spans="5:6" ht="12.75">
      <c r="E413" s="38"/>
      <c r="F413" s="38"/>
    </row>
    <row r="414" spans="5:6" ht="12.75">
      <c r="E414" s="38"/>
      <c r="F414" s="38"/>
    </row>
    <row r="415" spans="5:6" ht="12.75">
      <c r="E415" s="38"/>
      <c r="F415" s="38"/>
    </row>
    <row r="416" spans="5:6" ht="12.75">
      <c r="E416" s="38"/>
      <c r="F416" s="38"/>
    </row>
    <row r="417" spans="5:6" ht="12.75">
      <c r="E417" s="38"/>
      <c r="F417" s="38"/>
    </row>
    <row r="418" spans="5:6" ht="12.75">
      <c r="E418" s="38"/>
      <c r="F418" s="38"/>
    </row>
    <row r="419" spans="5:6" ht="12.75">
      <c r="E419" s="38"/>
      <c r="F419" s="38"/>
    </row>
    <row r="420" spans="5:6" ht="12.75">
      <c r="E420" s="38"/>
      <c r="F420" s="38"/>
    </row>
    <row r="421" spans="5:6" ht="12.75">
      <c r="E421" s="38"/>
      <c r="F421" s="38"/>
    </row>
    <row r="422" spans="5:6" ht="12.75">
      <c r="E422" s="38"/>
      <c r="F422" s="38"/>
    </row>
    <row r="423" spans="5:6" ht="12.75">
      <c r="E423" s="38"/>
      <c r="F423" s="38"/>
    </row>
    <row r="424" spans="5:6" ht="12.75">
      <c r="E424" s="38"/>
      <c r="F424" s="38"/>
    </row>
    <row r="425" spans="5:6" ht="12.75">
      <c r="E425" s="38"/>
      <c r="F425" s="38"/>
    </row>
    <row r="426" spans="5:6" ht="12.75">
      <c r="E426" s="38"/>
      <c r="F426" s="38"/>
    </row>
    <row r="427" spans="5:6" ht="12.75">
      <c r="E427" s="38"/>
      <c r="F427" s="38"/>
    </row>
    <row r="428" spans="5:6" ht="12.75">
      <c r="E428" s="38"/>
      <c r="F428" s="38"/>
    </row>
    <row r="429" spans="5:6" ht="12.75">
      <c r="E429" s="38"/>
      <c r="F429" s="38"/>
    </row>
    <row r="430" spans="5:6" ht="12.75">
      <c r="E430" s="38"/>
      <c r="F430" s="38"/>
    </row>
    <row r="431" spans="5:6" ht="12.75">
      <c r="E431" s="38"/>
      <c r="F431" s="38"/>
    </row>
    <row r="432" spans="5:6" ht="12.75">
      <c r="E432" s="38"/>
      <c r="F432" s="38"/>
    </row>
    <row r="433" spans="5:6" ht="12.75">
      <c r="E433" s="38"/>
      <c r="F433" s="38"/>
    </row>
    <row r="434" spans="5:6" ht="12.75">
      <c r="E434" s="38"/>
      <c r="F434" s="38"/>
    </row>
    <row r="435" spans="5:6" ht="12.75">
      <c r="E435" s="38"/>
      <c r="F435" s="38"/>
    </row>
    <row r="436" spans="5:6" ht="12.75">
      <c r="E436" s="38"/>
      <c r="F436" s="38"/>
    </row>
    <row r="437" spans="5:6" ht="12.75">
      <c r="E437" s="38"/>
      <c r="F437" s="38"/>
    </row>
    <row r="438" spans="5:6" ht="12.75">
      <c r="E438" s="38"/>
      <c r="F438" s="38"/>
    </row>
    <row r="439" spans="5:6" ht="12.75">
      <c r="E439" s="38"/>
      <c r="F439" s="38"/>
    </row>
    <row r="440" spans="5:6" ht="12.75">
      <c r="E440" s="38"/>
      <c r="F440" s="38"/>
    </row>
    <row r="441" spans="5:6" ht="12.75">
      <c r="E441" s="38"/>
      <c r="F441" s="38"/>
    </row>
    <row r="442" spans="5:6" ht="12.75">
      <c r="E442" s="38"/>
      <c r="F442" s="38"/>
    </row>
    <row r="443" spans="5:6" ht="12.75">
      <c r="E443" s="38"/>
      <c r="F443" s="38"/>
    </row>
    <row r="444" spans="5:6" ht="12.75">
      <c r="E444" s="38"/>
      <c r="F444" s="38"/>
    </row>
    <row r="445" spans="5:6" ht="12.75">
      <c r="E445" s="38"/>
      <c r="F445" s="38"/>
    </row>
    <row r="446" spans="5:6" ht="12.75">
      <c r="E446" s="38"/>
      <c r="F446" s="38"/>
    </row>
    <row r="447" spans="5:6" ht="12.75">
      <c r="E447" s="38"/>
      <c r="F447" s="38"/>
    </row>
    <row r="448" spans="5:6" ht="12.75">
      <c r="E448" s="38"/>
      <c r="F448" s="38"/>
    </row>
    <row r="449" spans="5:6" ht="12.75">
      <c r="E449" s="38"/>
      <c r="F449" s="38"/>
    </row>
    <row r="450" spans="5:6" ht="12.75">
      <c r="E450" s="38"/>
      <c r="F450" s="38"/>
    </row>
    <row r="451" spans="5:6" ht="12.75">
      <c r="E451" s="38"/>
      <c r="F451" s="38"/>
    </row>
    <row r="452" spans="5:6" ht="12.75">
      <c r="E452" s="38"/>
      <c r="F452" s="38"/>
    </row>
    <row r="453" spans="5:6" ht="12.75">
      <c r="E453" s="38"/>
      <c r="F453" s="38"/>
    </row>
    <row r="454" spans="5:6" ht="12.75">
      <c r="E454" s="38"/>
      <c r="F454" s="38"/>
    </row>
    <row r="455" spans="5:6" ht="12.75">
      <c r="E455" s="38"/>
      <c r="F455" s="38"/>
    </row>
    <row r="456" spans="5:6" ht="12.75">
      <c r="E456" s="38"/>
      <c r="F456" s="38"/>
    </row>
    <row r="457" spans="5:6" ht="12.75">
      <c r="E457" s="38"/>
      <c r="F457" s="38"/>
    </row>
    <row r="458" spans="5:6" ht="12.75">
      <c r="E458" s="38"/>
      <c r="F458" s="38"/>
    </row>
    <row r="459" spans="5:6" ht="12.75">
      <c r="E459" s="38"/>
      <c r="F459" s="38"/>
    </row>
    <row r="460" spans="5:6" ht="12.75">
      <c r="E460" s="38"/>
      <c r="F460" s="38"/>
    </row>
    <row r="461" spans="5:6" ht="12.75">
      <c r="E461" s="38"/>
      <c r="F461" s="38"/>
    </row>
    <row r="462" spans="5:6" ht="12.75">
      <c r="E462" s="38"/>
      <c r="F462" s="38"/>
    </row>
    <row r="463" spans="5:6" ht="12.75">
      <c r="E463" s="38"/>
      <c r="F463" s="38"/>
    </row>
    <row r="464" spans="5:6" ht="12.75">
      <c r="E464" s="38"/>
      <c r="F464" s="38"/>
    </row>
    <row r="465" spans="5:6" ht="12.75">
      <c r="E465" s="38"/>
      <c r="F465" s="38"/>
    </row>
    <row r="466" spans="5:6" ht="12.75">
      <c r="E466" s="38"/>
      <c r="F466" s="38"/>
    </row>
    <row r="467" spans="5:6" ht="12.75">
      <c r="E467" s="38"/>
      <c r="F467" s="38"/>
    </row>
    <row r="468" spans="5:6" ht="12.75">
      <c r="E468" s="38"/>
      <c r="F468" s="38"/>
    </row>
    <row r="469" spans="5:6" ht="12.75">
      <c r="E469" s="38"/>
      <c r="F469" s="38"/>
    </row>
    <row r="470" spans="5:6" ht="12.75">
      <c r="E470" s="38"/>
      <c r="F470" s="38"/>
    </row>
    <row r="471" spans="5:6" ht="12.75">
      <c r="E471" s="38"/>
      <c r="F471" s="38"/>
    </row>
    <row r="472" spans="5:6" ht="12.75">
      <c r="E472" s="38"/>
      <c r="F472" s="38"/>
    </row>
    <row r="473" spans="5:6" ht="12.75">
      <c r="E473" s="38"/>
      <c r="F473" s="38"/>
    </row>
    <row r="474" spans="5:6" ht="12.75">
      <c r="E474" s="38"/>
      <c r="F474" s="38"/>
    </row>
    <row r="475" spans="5:6" ht="12.75">
      <c r="E475" s="38"/>
      <c r="F475" s="38"/>
    </row>
    <row r="476" spans="5:6" ht="12.75">
      <c r="E476" s="38"/>
      <c r="F476" s="38"/>
    </row>
    <row r="477" spans="5:6" ht="12.75">
      <c r="E477" s="38"/>
      <c r="F477" s="38"/>
    </row>
    <row r="478" spans="5:6" ht="12.75">
      <c r="E478" s="38"/>
      <c r="F478" s="38"/>
    </row>
    <row r="479" spans="5:6" ht="12.75">
      <c r="E479" s="38"/>
      <c r="F479" s="38"/>
    </row>
    <row r="480" spans="5:6" ht="12.75">
      <c r="E480" s="38"/>
      <c r="F480" s="38"/>
    </row>
    <row r="481" spans="5:6" ht="12.75">
      <c r="E481" s="38"/>
      <c r="F481" s="38"/>
    </row>
    <row r="482" spans="5:6" ht="12.75">
      <c r="E482" s="38"/>
      <c r="F482" s="38"/>
    </row>
    <row r="483" spans="5:6" ht="12.75">
      <c r="E483" s="38"/>
      <c r="F483" s="38"/>
    </row>
    <row r="484" spans="5:6" ht="12.75">
      <c r="E484" s="38"/>
      <c r="F484" s="38"/>
    </row>
    <row r="485" spans="5:6" ht="12.75">
      <c r="E485" s="38"/>
      <c r="F485" s="38"/>
    </row>
    <row r="486" spans="5:6" ht="12.75">
      <c r="E486" s="38"/>
      <c r="F486" s="38"/>
    </row>
    <row r="487" spans="5:6" ht="12.75">
      <c r="E487" s="38"/>
      <c r="F487" s="38"/>
    </row>
    <row r="488" spans="5:6" ht="12.75">
      <c r="E488" s="38"/>
      <c r="F488" s="38"/>
    </row>
    <row r="489" spans="5:6" ht="12.75">
      <c r="E489" s="38"/>
      <c r="F489" s="38"/>
    </row>
    <row r="490" spans="5:6" ht="12.75">
      <c r="E490" s="38"/>
      <c r="F490" s="38"/>
    </row>
    <row r="491" spans="5:6" ht="12.75">
      <c r="E491" s="38"/>
      <c r="F491" s="38"/>
    </row>
    <row r="492" spans="5:6" ht="12.75">
      <c r="E492" s="38"/>
      <c r="F492" s="38"/>
    </row>
    <row r="493" spans="5:6" ht="12.75">
      <c r="E493" s="38"/>
      <c r="F493" s="38"/>
    </row>
    <row r="494" spans="5:6" ht="12.75">
      <c r="E494" s="38"/>
      <c r="F494" s="38"/>
    </row>
    <row r="495" spans="5:6" ht="12.75">
      <c r="E495" s="38"/>
      <c r="F495" s="38"/>
    </row>
    <row r="496" spans="5:6" ht="12.75">
      <c r="E496" s="38"/>
      <c r="F496" s="38"/>
    </row>
    <row r="497" spans="5:6" ht="12.75">
      <c r="E497" s="38"/>
      <c r="F497" s="38"/>
    </row>
    <row r="498" spans="5:6" ht="12.75">
      <c r="E498" s="38"/>
      <c r="F498" s="38"/>
    </row>
    <row r="499" spans="5:6" ht="12.75">
      <c r="E499" s="38"/>
      <c r="F499" s="38"/>
    </row>
    <row r="500" spans="5:6" ht="12.75">
      <c r="E500" s="38"/>
      <c r="F500" s="38"/>
    </row>
    <row r="501" spans="5:6" ht="12.75">
      <c r="E501" s="38"/>
      <c r="F501" s="38"/>
    </row>
    <row r="502" spans="5:6" ht="12.75">
      <c r="E502" s="38"/>
      <c r="F502" s="38"/>
    </row>
    <row r="503" spans="5:6" ht="12.75">
      <c r="E503" s="38"/>
      <c r="F503" s="38"/>
    </row>
    <row r="504" spans="5:6" ht="12.75">
      <c r="E504" s="38"/>
      <c r="F504" s="38"/>
    </row>
    <row r="505" spans="5:6" ht="12.75">
      <c r="E505" s="38"/>
      <c r="F505" s="38"/>
    </row>
    <row r="506" spans="5:6" ht="12.75">
      <c r="E506" s="38"/>
      <c r="F506" s="38"/>
    </row>
    <row r="507" spans="5:6" ht="12.75">
      <c r="E507" s="38"/>
      <c r="F507" s="38"/>
    </row>
    <row r="508" spans="5:6" ht="12.75">
      <c r="E508" s="38"/>
      <c r="F508" s="38"/>
    </row>
    <row r="509" spans="5:6" ht="12.75">
      <c r="E509" s="38"/>
      <c r="F509" s="38"/>
    </row>
    <row r="510" spans="5:6" ht="12.75">
      <c r="E510" s="38"/>
      <c r="F510" s="38"/>
    </row>
    <row r="511" spans="5:6" ht="12.75">
      <c r="E511" s="38"/>
      <c r="F511" s="38"/>
    </row>
    <row r="512" spans="5:6" ht="12.75">
      <c r="E512" s="38"/>
      <c r="F512" s="38"/>
    </row>
    <row r="513" spans="5:6" ht="12.75">
      <c r="E513" s="38"/>
      <c r="F513" s="38"/>
    </row>
    <row r="514" spans="5:6" ht="12.75">
      <c r="E514" s="38"/>
      <c r="F514" s="38"/>
    </row>
    <row r="515" spans="5:6" ht="12.75">
      <c r="E515" s="38"/>
      <c r="F515" s="38"/>
    </row>
    <row r="516" spans="5:6" ht="12.75">
      <c r="E516" s="38"/>
      <c r="F516" s="38"/>
    </row>
    <row r="517" spans="5:6" ht="12.75">
      <c r="E517" s="38"/>
      <c r="F517" s="38"/>
    </row>
    <row r="518" spans="5:6" ht="12.75">
      <c r="E518" s="38"/>
      <c r="F518" s="38"/>
    </row>
    <row r="519" spans="5:6" ht="12.75">
      <c r="E519" s="38"/>
      <c r="F519" s="38"/>
    </row>
    <row r="520" spans="5:6" ht="12.75">
      <c r="E520" s="38"/>
      <c r="F520" s="38"/>
    </row>
    <row r="521" spans="5:6" ht="12.75">
      <c r="E521" s="38"/>
      <c r="F521" s="38"/>
    </row>
    <row r="522" spans="5:6" ht="12.75">
      <c r="E522" s="38"/>
      <c r="F522" s="38"/>
    </row>
    <row r="523" spans="5:6" ht="12.75">
      <c r="E523" s="38"/>
      <c r="F523" s="38"/>
    </row>
    <row r="524" spans="5:6" ht="12.75">
      <c r="E524" s="38"/>
      <c r="F524" s="38"/>
    </row>
    <row r="525" spans="5:6" ht="12.75">
      <c r="E525" s="38"/>
      <c r="F525" s="38"/>
    </row>
    <row r="526" spans="5:6" ht="12.75">
      <c r="E526" s="38"/>
      <c r="F526" s="38"/>
    </row>
    <row r="527" spans="5:6" ht="12.75">
      <c r="E527" s="38"/>
      <c r="F527" s="38"/>
    </row>
    <row r="528" spans="5:6" ht="12.75">
      <c r="E528" s="38"/>
      <c r="F528" s="38"/>
    </row>
    <row r="529" spans="5:6" ht="12.75">
      <c r="E529" s="38"/>
      <c r="F529" s="38"/>
    </row>
    <row r="530" spans="5:6" ht="12.75">
      <c r="E530" s="38"/>
      <c r="F530" s="38"/>
    </row>
    <row r="531" spans="5:6" ht="12.75">
      <c r="E531" s="38"/>
      <c r="F531" s="38"/>
    </row>
    <row r="532" spans="5:6" ht="12.75">
      <c r="E532" s="38"/>
      <c r="F532" s="38"/>
    </row>
    <row r="533" spans="5:6" ht="12.75">
      <c r="E533" s="38"/>
      <c r="F533" s="38"/>
    </row>
    <row r="534" spans="5:6" ht="12.75">
      <c r="E534" s="38"/>
      <c r="F534" s="38"/>
    </row>
    <row r="535" spans="5:6" ht="12.75">
      <c r="E535" s="38"/>
      <c r="F535" s="38"/>
    </row>
    <row r="536" spans="5:6" ht="12.75">
      <c r="E536" s="38"/>
      <c r="F536" s="38"/>
    </row>
    <row r="537" spans="5:6" ht="12.75">
      <c r="E537" s="38"/>
      <c r="F537" s="38"/>
    </row>
    <row r="538" spans="5:6" ht="12.75">
      <c r="E538" s="38"/>
      <c r="F538" s="38"/>
    </row>
    <row r="539" spans="5:6" ht="12.75">
      <c r="E539" s="38"/>
      <c r="F539" s="38"/>
    </row>
    <row r="540" spans="5:6" ht="12.75">
      <c r="E540" s="38"/>
      <c r="F540" s="38"/>
    </row>
    <row r="541" spans="5:6" ht="12.75">
      <c r="E541" s="38"/>
      <c r="F541" s="38"/>
    </row>
    <row r="542" spans="5:6" ht="12.75">
      <c r="E542" s="38"/>
      <c r="F542" s="38"/>
    </row>
    <row r="543" spans="5:6" ht="12.75">
      <c r="E543" s="38"/>
      <c r="F543" s="38"/>
    </row>
    <row r="544" spans="5:6" ht="12.75">
      <c r="E544" s="38"/>
      <c r="F544" s="38"/>
    </row>
    <row r="545" spans="5:6" ht="12.75">
      <c r="E545" s="38"/>
      <c r="F545" s="38"/>
    </row>
    <row r="546" spans="5:6" ht="12.75">
      <c r="E546" s="38"/>
      <c r="F546" s="38"/>
    </row>
    <row r="547" spans="5:6" ht="12.75">
      <c r="E547" s="38"/>
      <c r="F547" s="38"/>
    </row>
    <row r="548" spans="5:6" ht="12.75">
      <c r="E548" s="38"/>
      <c r="F548" s="38"/>
    </row>
    <row r="549" spans="5:6" ht="12.75">
      <c r="E549" s="38"/>
      <c r="F549" s="38"/>
    </row>
    <row r="550" spans="5:6" ht="12.75">
      <c r="E550" s="38"/>
      <c r="F550" s="38"/>
    </row>
    <row r="551" spans="5:6" ht="12.75">
      <c r="E551" s="38"/>
      <c r="F551" s="38"/>
    </row>
    <row r="552" spans="5:6" ht="12.75">
      <c r="E552" s="38"/>
      <c r="F552" s="38"/>
    </row>
    <row r="553" spans="5:6" ht="12.75">
      <c r="E553" s="38"/>
      <c r="F553" s="38"/>
    </row>
    <row r="554" spans="5:6" ht="12.75">
      <c r="E554" s="38"/>
      <c r="F554" s="38"/>
    </row>
    <row r="555" spans="5:6" ht="12.75">
      <c r="E555" s="38"/>
      <c r="F555" s="38"/>
    </row>
    <row r="556" spans="5:6" ht="12.75">
      <c r="E556" s="38"/>
      <c r="F556" s="38"/>
    </row>
    <row r="557" spans="5:6" ht="12.75">
      <c r="E557" s="38"/>
      <c r="F557" s="38"/>
    </row>
    <row r="558" spans="5:6" ht="12.75">
      <c r="E558" s="38"/>
      <c r="F558" s="38"/>
    </row>
    <row r="559" spans="5:6" ht="12.75">
      <c r="E559" s="38"/>
      <c r="F559" s="38"/>
    </row>
    <row r="560" spans="5:6" ht="12.75">
      <c r="E560" s="38"/>
      <c r="F560" s="38"/>
    </row>
    <row r="561" spans="5:6" ht="12.75">
      <c r="E561" s="38"/>
      <c r="F561" s="38"/>
    </row>
    <row r="562" spans="5:6" ht="12.75">
      <c r="E562" s="38"/>
      <c r="F562" s="38"/>
    </row>
    <row r="563" spans="5:6" ht="12.75">
      <c r="E563" s="38"/>
      <c r="F563" s="38"/>
    </row>
    <row r="564" spans="5:6" ht="12.75">
      <c r="E564" s="38"/>
      <c r="F564" s="38"/>
    </row>
    <row r="565" spans="5:6" ht="12.75">
      <c r="E565" s="38"/>
      <c r="F565" s="38"/>
    </row>
    <row r="566" spans="5:6" ht="12.75">
      <c r="E566" s="38"/>
      <c r="F566" s="38"/>
    </row>
    <row r="567" spans="5:6" ht="12.75">
      <c r="E567" s="38"/>
      <c r="F567" s="38"/>
    </row>
    <row r="568" spans="5:6" ht="12.75">
      <c r="E568" s="38"/>
      <c r="F568" s="38"/>
    </row>
    <row r="569" spans="5:6" ht="12.75">
      <c r="E569" s="38"/>
      <c r="F569" s="38"/>
    </row>
    <row r="570" spans="5:6" ht="12.75">
      <c r="E570" s="38"/>
      <c r="F570" s="38"/>
    </row>
    <row r="571" spans="5:6" ht="12.75">
      <c r="E571" s="38"/>
      <c r="F571" s="38"/>
    </row>
    <row r="572" spans="5:6" ht="12.75">
      <c r="E572" s="38"/>
      <c r="F572" s="38"/>
    </row>
    <row r="573" spans="5:6" ht="12.75">
      <c r="E573" s="38"/>
      <c r="F573" s="38"/>
    </row>
    <row r="574" spans="5:6" ht="12.75">
      <c r="E574" s="38"/>
      <c r="F574" s="38"/>
    </row>
    <row r="575" spans="5:6" ht="12.75">
      <c r="E575" s="38"/>
      <c r="F575" s="38"/>
    </row>
    <row r="576" spans="5:6" ht="12.75">
      <c r="E576" s="38"/>
      <c r="F576" s="38"/>
    </row>
    <row r="577" spans="5:6" ht="12.75">
      <c r="E577" s="38"/>
      <c r="F577" s="38"/>
    </row>
    <row r="578" spans="5:6" ht="12.75">
      <c r="E578" s="38"/>
      <c r="F578" s="38"/>
    </row>
    <row r="579" spans="5:6" ht="12.75">
      <c r="E579" s="38"/>
      <c r="F579" s="38"/>
    </row>
    <row r="580" spans="5:6" ht="12.75">
      <c r="E580" s="38"/>
      <c r="F580" s="38"/>
    </row>
    <row r="581" spans="5:6" ht="12.75">
      <c r="E581" s="38"/>
      <c r="F581" s="38"/>
    </row>
    <row r="582" spans="5:6" ht="12.75">
      <c r="E582" s="38"/>
      <c r="F582" s="38"/>
    </row>
    <row r="583" spans="5:6" ht="12.75">
      <c r="E583" s="38"/>
      <c r="F583" s="38"/>
    </row>
    <row r="584" spans="5:6" ht="12.75">
      <c r="E584" s="38"/>
      <c r="F584" s="38"/>
    </row>
    <row r="585" spans="5:6" ht="12.75">
      <c r="E585" s="38"/>
      <c r="F585" s="38"/>
    </row>
    <row r="586" spans="5:6" ht="12.75">
      <c r="E586" s="38"/>
      <c r="F586" s="38"/>
    </row>
    <row r="587" spans="5:6" ht="12.75">
      <c r="E587" s="38"/>
      <c r="F587" s="38"/>
    </row>
    <row r="588" spans="5:6" ht="12.75">
      <c r="E588" s="38"/>
      <c r="F588" s="38"/>
    </row>
    <row r="589" spans="5:6" ht="12.75">
      <c r="E589" s="38"/>
      <c r="F589" s="38"/>
    </row>
    <row r="590" spans="5:6" ht="12.75">
      <c r="E590" s="38"/>
      <c r="F590" s="38"/>
    </row>
    <row r="591" spans="5:6" ht="12.75">
      <c r="E591" s="38"/>
      <c r="F591" s="38"/>
    </row>
    <row r="592" spans="5:6" ht="12.75">
      <c r="E592" s="38"/>
      <c r="F592" s="38"/>
    </row>
    <row r="593" spans="5:6" ht="12.75">
      <c r="E593" s="38"/>
      <c r="F593" s="38"/>
    </row>
    <row r="594" spans="5:6" ht="12.75">
      <c r="E594" s="38"/>
      <c r="F594" s="38"/>
    </row>
    <row r="595" spans="5:6" ht="12.75">
      <c r="E595" s="38"/>
      <c r="F595" s="38"/>
    </row>
    <row r="596" spans="5:6" ht="12.75">
      <c r="E596" s="38"/>
      <c r="F596" s="38"/>
    </row>
    <row r="597" spans="5:6" ht="12.75">
      <c r="E597" s="38"/>
      <c r="F597" s="38"/>
    </row>
    <row r="598" spans="5:6" ht="12.75">
      <c r="E598" s="38"/>
      <c r="F598" s="38"/>
    </row>
    <row r="599" spans="5:6" ht="12.75">
      <c r="E599" s="38"/>
      <c r="F599" s="38"/>
    </row>
    <row r="600" spans="5:6" ht="12.75">
      <c r="E600" s="38"/>
      <c r="F600" s="38"/>
    </row>
    <row r="601" spans="5:6" ht="12.75">
      <c r="E601" s="38"/>
      <c r="F601" s="38"/>
    </row>
    <row r="602" spans="5:6" ht="12.75">
      <c r="E602" s="38"/>
      <c r="F602" s="38"/>
    </row>
    <row r="603" spans="5:6" ht="12.75">
      <c r="E603" s="38"/>
      <c r="F603" s="38"/>
    </row>
    <row r="604" spans="5:6" ht="12.75">
      <c r="E604" s="38"/>
      <c r="F604" s="38"/>
    </row>
    <row r="605" spans="5:6" ht="12.75">
      <c r="E605" s="38"/>
      <c r="F605" s="38"/>
    </row>
    <row r="606" spans="5:6" ht="12.75">
      <c r="E606" s="38"/>
      <c r="F606" s="38"/>
    </row>
    <row r="607" spans="5:6" ht="12.75">
      <c r="E607" s="38"/>
      <c r="F607" s="38"/>
    </row>
    <row r="608" spans="5:6" ht="12.75">
      <c r="E608" s="38"/>
      <c r="F608" s="38"/>
    </row>
    <row r="609" spans="5:6" ht="12.75">
      <c r="E609" s="38"/>
      <c r="F609" s="38"/>
    </row>
    <row r="610" spans="5:6" ht="12.75">
      <c r="E610" s="38"/>
      <c r="F610" s="38"/>
    </row>
    <row r="611" spans="5:6" ht="12.75">
      <c r="E611" s="38"/>
      <c r="F611" s="38"/>
    </row>
    <row r="612" spans="5:6" ht="12.75">
      <c r="E612" s="38"/>
      <c r="F612" s="38"/>
    </row>
    <row r="613" spans="5:6" ht="12.75">
      <c r="E613" s="38"/>
      <c r="F613" s="38"/>
    </row>
    <row r="614" spans="5:6" ht="12.75">
      <c r="E614" s="38"/>
      <c r="F614" s="38"/>
    </row>
    <row r="615" spans="5:6" ht="12.75">
      <c r="E615" s="38"/>
      <c r="F615" s="38"/>
    </row>
    <row r="616" spans="5:6" ht="12.75">
      <c r="E616" s="38"/>
      <c r="F616" s="38"/>
    </row>
    <row r="617" spans="5:6" ht="12.75">
      <c r="E617" s="38"/>
      <c r="F617" s="38"/>
    </row>
    <row r="618" spans="5:6" ht="12.75">
      <c r="E618" s="38"/>
      <c r="F618" s="38"/>
    </row>
    <row r="619" spans="5:6" ht="12.75">
      <c r="E619" s="38"/>
      <c r="F619" s="38"/>
    </row>
    <row r="620" spans="5:6" ht="12.75">
      <c r="E620" s="38"/>
      <c r="F620" s="38"/>
    </row>
    <row r="621" spans="5:6" ht="12.75">
      <c r="E621" s="38"/>
      <c r="F621" s="38"/>
    </row>
    <row r="622" spans="5:6" ht="12.75">
      <c r="E622" s="38"/>
      <c r="F622" s="38"/>
    </row>
    <row r="623" spans="5:6" ht="12.75">
      <c r="E623" s="38"/>
      <c r="F623" s="38"/>
    </row>
    <row r="624" spans="5:6" ht="12.75">
      <c r="E624" s="38"/>
      <c r="F624" s="38"/>
    </row>
    <row r="625" spans="5:6" ht="12.75">
      <c r="E625" s="38"/>
      <c r="F625" s="38"/>
    </row>
    <row r="626" spans="5:6" ht="12.75">
      <c r="E626" s="38"/>
      <c r="F626" s="38"/>
    </row>
    <row r="627" spans="5:6" ht="12.75">
      <c r="E627" s="38"/>
      <c r="F627" s="38"/>
    </row>
    <row r="628" spans="5:6" ht="12.75">
      <c r="E628" s="38"/>
      <c r="F628" s="38"/>
    </row>
    <row r="629" spans="5:6" ht="12.75">
      <c r="E629" s="38"/>
      <c r="F629" s="38"/>
    </row>
    <row r="630" spans="5:6" ht="12.75">
      <c r="E630" s="38"/>
      <c r="F630" s="38"/>
    </row>
    <row r="631" spans="5:6" ht="12.75">
      <c r="E631" s="38"/>
      <c r="F631" s="38"/>
    </row>
    <row r="632" spans="5:6" ht="12.75">
      <c r="E632" s="38"/>
      <c r="F632" s="38"/>
    </row>
    <row r="633" spans="5:6" ht="12.75">
      <c r="E633" s="38"/>
      <c r="F633" s="38"/>
    </row>
    <row r="634" spans="5:6" ht="12.75">
      <c r="E634" s="38"/>
      <c r="F634" s="38"/>
    </row>
    <row r="635" spans="5:6" ht="12.75">
      <c r="E635" s="38"/>
      <c r="F635" s="38"/>
    </row>
    <row r="636" spans="5:6" ht="12.75">
      <c r="E636" s="38"/>
      <c r="F636" s="38"/>
    </row>
    <row r="637" spans="5:6" ht="12.75">
      <c r="E637" s="38"/>
      <c r="F637" s="38"/>
    </row>
    <row r="638" spans="5:6" ht="12.75">
      <c r="E638" s="38"/>
      <c r="F638" s="38"/>
    </row>
    <row r="639" spans="5:6" ht="12.75">
      <c r="E639" s="38"/>
      <c r="F639" s="38"/>
    </row>
    <row r="640" spans="5:6" ht="12.75">
      <c r="E640" s="38"/>
      <c r="F640" s="38"/>
    </row>
    <row r="641" spans="5:6" ht="12.75">
      <c r="E641" s="38"/>
      <c r="F641" s="38"/>
    </row>
    <row r="642" spans="5:6" ht="12.75">
      <c r="E642" s="38"/>
      <c r="F642" s="38"/>
    </row>
    <row r="643" spans="5:6" ht="12.75">
      <c r="E643" s="38"/>
      <c r="F643" s="38"/>
    </row>
    <row r="644" spans="5:6" ht="12.75">
      <c r="E644" s="38"/>
      <c r="F644" s="38"/>
    </row>
    <row r="645" spans="5:6" ht="12.75">
      <c r="E645" s="38"/>
      <c r="F645" s="38"/>
    </row>
    <row r="646" spans="5:6" ht="12.75">
      <c r="E646" s="38"/>
      <c r="F646" s="38"/>
    </row>
    <row r="647" spans="5:6" ht="12.75">
      <c r="E647" s="38"/>
      <c r="F647" s="38"/>
    </row>
    <row r="648" spans="5:6" ht="12.75">
      <c r="E648" s="38"/>
      <c r="F648" s="38"/>
    </row>
    <row r="649" spans="5:6" ht="12.75">
      <c r="E649" s="38"/>
      <c r="F649" s="38"/>
    </row>
    <row r="650" spans="5:6" ht="12.75">
      <c r="E650" s="38"/>
      <c r="F650" s="38"/>
    </row>
    <row r="651" spans="5:6" ht="12.75">
      <c r="E651" s="38"/>
      <c r="F651" s="38"/>
    </row>
    <row r="652" spans="5:6" ht="12.75">
      <c r="E652" s="38"/>
      <c r="F652" s="38"/>
    </row>
    <row r="653" spans="5:6" ht="12.75">
      <c r="E653" s="38"/>
      <c r="F653" s="38"/>
    </row>
    <row r="654" spans="5:6" ht="12.75">
      <c r="E654" s="38"/>
      <c r="F654" s="38"/>
    </row>
    <row r="655" spans="5:6" ht="12.75">
      <c r="E655" s="38"/>
      <c r="F655" s="38"/>
    </row>
    <row r="656" spans="5:6" ht="12.75">
      <c r="E656" s="38"/>
      <c r="F656" s="38"/>
    </row>
    <row r="657" spans="5:6" ht="12.75">
      <c r="E657" s="38"/>
      <c r="F657" s="38"/>
    </row>
    <row r="658" spans="5:6" ht="12.75">
      <c r="E658" s="38"/>
      <c r="F658" s="38"/>
    </row>
    <row r="659" spans="5:6" ht="12.75">
      <c r="E659" s="38"/>
      <c r="F659" s="38"/>
    </row>
    <row r="660" spans="5:6" ht="12.75">
      <c r="E660" s="38"/>
      <c r="F660" s="38"/>
    </row>
    <row r="661" spans="5:6" ht="12.75">
      <c r="E661" s="38"/>
      <c r="F661" s="38"/>
    </row>
    <row r="662" spans="5:6" ht="12.75">
      <c r="E662" s="38"/>
      <c r="F662" s="38"/>
    </row>
    <row r="663" spans="5:6" ht="12.75">
      <c r="E663" s="38"/>
      <c r="F663" s="38"/>
    </row>
    <row r="664" spans="5:6" ht="12.75">
      <c r="E664" s="38"/>
      <c r="F664" s="38"/>
    </row>
    <row r="665" spans="5:6" ht="12.75">
      <c r="E665" s="38"/>
      <c r="F665" s="38"/>
    </row>
    <row r="666" spans="5:6" ht="12.75">
      <c r="E666" s="38"/>
      <c r="F666" s="38"/>
    </row>
    <row r="667" spans="5:6" ht="12.75">
      <c r="E667" s="38"/>
      <c r="F667" s="38"/>
    </row>
    <row r="668" spans="5:6" ht="12.75">
      <c r="E668" s="38"/>
      <c r="F668" s="38"/>
    </row>
    <row r="669" spans="5:6" ht="12.75">
      <c r="E669" s="38"/>
      <c r="F669" s="38"/>
    </row>
    <row r="670" spans="5:6" ht="12.75">
      <c r="E670" s="38"/>
      <c r="F670" s="38"/>
    </row>
    <row r="671" spans="5:6" ht="12.75">
      <c r="E671" s="38"/>
      <c r="F671" s="38"/>
    </row>
    <row r="672" spans="5:6" ht="12.75">
      <c r="E672" s="38"/>
      <c r="F672" s="38"/>
    </row>
    <row r="673" spans="5:6" ht="12.75">
      <c r="E673" s="38"/>
      <c r="F673" s="38"/>
    </row>
    <row r="674" spans="5:6" ht="12.75">
      <c r="E674" s="38"/>
      <c r="F674" s="38"/>
    </row>
    <row r="675" spans="5:6" ht="12.75">
      <c r="E675" s="38"/>
      <c r="F675" s="38"/>
    </row>
    <row r="676" spans="5:6" ht="12.75">
      <c r="E676" s="38"/>
      <c r="F676" s="38"/>
    </row>
    <row r="677" spans="5:6" ht="12.75">
      <c r="E677" s="38"/>
      <c r="F677" s="38"/>
    </row>
    <row r="678" spans="5:6" ht="12.75">
      <c r="E678" s="38"/>
      <c r="F678" s="38"/>
    </row>
    <row r="679" spans="5:6" ht="12.75">
      <c r="E679" s="38"/>
      <c r="F679" s="38"/>
    </row>
    <row r="680" spans="5:6" ht="12.75">
      <c r="E680" s="38"/>
      <c r="F680" s="38"/>
    </row>
    <row r="681" spans="5:6" ht="12.75">
      <c r="E681" s="38"/>
      <c r="F681" s="38"/>
    </row>
    <row r="682" spans="5:6" ht="12.75">
      <c r="E682" s="38"/>
      <c r="F682" s="38"/>
    </row>
    <row r="683" spans="5:6" ht="12.75">
      <c r="E683" s="38"/>
      <c r="F683" s="38"/>
    </row>
    <row r="684" spans="5:6" ht="12.75">
      <c r="E684" s="38"/>
      <c r="F684" s="38"/>
    </row>
    <row r="685" spans="5:6" ht="12.75">
      <c r="E685" s="38"/>
      <c r="F685" s="38"/>
    </row>
    <row r="686" spans="5:6" ht="12.75">
      <c r="E686" s="38"/>
      <c r="F686" s="38"/>
    </row>
    <row r="687" spans="5:6" ht="12.75">
      <c r="E687" s="38"/>
      <c r="F687" s="38"/>
    </row>
    <row r="688" spans="5:6" ht="12.75">
      <c r="E688" s="38"/>
      <c r="F688" s="38"/>
    </row>
    <row r="689" spans="5:6" ht="12.75">
      <c r="E689" s="38"/>
      <c r="F689" s="38"/>
    </row>
    <row r="690" spans="5:6" ht="12.75">
      <c r="E690" s="38"/>
      <c r="F690" s="38"/>
    </row>
    <row r="691" spans="5:6" ht="12.75">
      <c r="E691" s="38"/>
      <c r="F691" s="38"/>
    </row>
    <row r="692" spans="5:6" ht="12.75">
      <c r="E692" s="38"/>
      <c r="F692" s="38"/>
    </row>
    <row r="693" spans="5:6" ht="12.75">
      <c r="E693" s="38"/>
      <c r="F693" s="38"/>
    </row>
    <row r="694" spans="5:6" ht="12.75">
      <c r="E694" s="38"/>
      <c r="F694" s="38"/>
    </row>
    <row r="695" spans="5:6" ht="12.75">
      <c r="E695" s="38"/>
      <c r="F695" s="38"/>
    </row>
    <row r="696" spans="5:6" ht="12.75">
      <c r="E696" s="38"/>
      <c r="F696" s="38"/>
    </row>
    <row r="697" spans="5:6" ht="12.75">
      <c r="E697" s="38"/>
      <c r="F697" s="38"/>
    </row>
    <row r="698" spans="5:6" ht="12.75">
      <c r="E698" s="38"/>
      <c r="F698" s="38"/>
    </row>
    <row r="699" spans="5:6" ht="12.75">
      <c r="E699" s="38"/>
      <c r="F699" s="38"/>
    </row>
    <row r="700" spans="5:6" ht="12.75">
      <c r="E700" s="38"/>
      <c r="F700" s="38"/>
    </row>
    <row r="701" spans="5:6" ht="12.75">
      <c r="E701" s="38"/>
      <c r="F701" s="38"/>
    </row>
    <row r="702" spans="5:6" ht="12.75">
      <c r="E702" s="38"/>
      <c r="F702" s="38"/>
    </row>
    <row r="703" spans="5:6" ht="12.75">
      <c r="E703" s="38"/>
      <c r="F703" s="38"/>
    </row>
    <row r="704" spans="5:6" ht="12.75">
      <c r="E704" s="38"/>
      <c r="F704" s="38"/>
    </row>
    <row r="705" spans="5:6" ht="12.75">
      <c r="E705" s="38"/>
      <c r="F705" s="38"/>
    </row>
    <row r="706" spans="5:6" ht="12.75">
      <c r="E706" s="38"/>
      <c r="F706" s="38"/>
    </row>
    <row r="707" spans="5:6" ht="12.75">
      <c r="E707" s="38"/>
      <c r="F707" s="38"/>
    </row>
    <row r="708" spans="5:6" ht="12.75">
      <c r="E708" s="38"/>
      <c r="F708" s="38"/>
    </row>
    <row r="709" spans="5:6" ht="12.75">
      <c r="E709" s="38"/>
      <c r="F709" s="38"/>
    </row>
    <row r="710" spans="5:6" ht="12.75">
      <c r="E710" s="38"/>
      <c r="F710" s="38"/>
    </row>
    <row r="711" spans="5:6" ht="12.75">
      <c r="E711" s="38"/>
      <c r="F711" s="38"/>
    </row>
    <row r="712" spans="5:6" ht="12.75">
      <c r="E712" s="38"/>
      <c r="F712" s="38"/>
    </row>
    <row r="713" spans="5:6" ht="12.75">
      <c r="E713" s="38"/>
      <c r="F713" s="38"/>
    </row>
    <row r="714" spans="5:6" ht="12.75">
      <c r="E714" s="38"/>
      <c r="F714" s="38"/>
    </row>
    <row r="715" spans="5:6" ht="12.75">
      <c r="E715" s="38"/>
      <c r="F715" s="38"/>
    </row>
    <row r="716" spans="5:6" ht="12.75">
      <c r="E716" s="38"/>
      <c r="F716" s="38"/>
    </row>
    <row r="717" spans="5:6" ht="12.75">
      <c r="E717" s="38"/>
      <c r="F717" s="38"/>
    </row>
    <row r="718" spans="5:6" ht="12.75">
      <c r="E718" s="38"/>
      <c r="F718" s="38"/>
    </row>
    <row r="719" spans="5:6" ht="12.75">
      <c r="E719" s="38"/>
      <c r="F719" s="38"/>
    </row>
    <row r="720" spans="5:6" ht="12.75">
      <c r="E720" s="38"/>
      <c r="F720" s="38"/>
    </row>
    <row r="721" spans="5:6" ht="12.75">
      <c r="E721" s="38"/>
      <c r="F721" s="38"/>
    </row>
    <row r="722" spans="5:6" ht="12.75">
      <c r="E722" s="38"/>
      <c r="F722" s="38"/>
    </row>
    <row r="723" spans="5:6" ht="12.75">
      <c r="E723" s="38"/>
      <c r="F723" s="38"/>
    </row>
    <row r="724" spans="5:6" ht="12.75">
      <c r="E724" s="38"/>
      <c r="F724" s="38"/>
    </row>
    <row r="725" spans="5:6" ht="12.75">
      <c r="E725" s="38"/>
      <c r="F725" s="38"/>
    </row>
    <row r="726" spans="5:6" ht="12.75">
      <c r="E726" s="38"/>
      <c r="F726" s="38"/>
    </row>
    <row r="727" spans="5:6" ht="12.75">
      <c r="E727" s="38"/>
      <c r="F727" s="38"/>
    </row>
    <row r="728" spans="5:6" ht="12.75">
      <c r="E728" s="38"/>
      <c r="F728" s="38"/>
    </row>
    <row r="729" spans="5:6" ht="12.75">
      <c r="E729" s="38"/>
      <c r="F729" s="38"/>
    </row>
    <row r="730" spans="5:6" ht="12.75">
      <c r="E730" s="38"/>
      <c r="F730" s="38"/>
    </row>
    <row r="731" spans="5:6" ht="12.75">
      <c r="E731" s="38"/>
      <c r="F731" s="38"/>
    </row>
    <row r="732" spans="5:6" ht="12.75">
      <c r="E732" s="38"/>
      <c r="F732" s="38"/>
    </row>
    <row r="733" spans="5:6" ht="12.75">
      <c r="E733" s="38"/>
      <c r="F733" s="38"/>
    </row>
    <row r="734" spans="5:6" ht="12.75">
      <c r="E734" s="38"/>
      <c r="F734" s="38"/>
    </row>
    <row r="735" spans="5:6" ht="12.75">
      <c r="E735" s="38"/>
      <c r="F735" s="38"/>
    </row>
    <row r="736" spans="5:6" ht="12.75">
      <c r="E736" s="38"/>
      <c r="F736" s="38"/>
    </row>
    <row r="737" spans="5:6" ht="12.75">
      <c r="E737" s="38"/>
      <c r="F737" s="38"/>
    </row>
    <row r="738" spans="5:6" ht="12.75">
      <c r="E738" s="38"/>
      <c r="F738" s="38"/>
    </row>
    <row r="739" spans="5:6" ht="12.75">
      <c r="E739" s="38"/>
      <c r="F739" s="38"/>
    </row>
    <row r="740" spans="5:6" ht="12.75">
      <c r="E740" s="38"/>
      <c r="F740" s="38"/>
    </row>
    <row r="741" spans="5:6" ht="12.75">
      <c r="E741" s="38"/>
      <c r="F741" s="38"/>
    </row>
    <row r="742" spans="5:6" ht="12.75">
      <c r="E742" s="38"/>
      <c r="F742" s="38"/>
    </row>
    <row r="743" spans="5:6" ht="12.75">
      <c r="E743" s="38"/>
      <c r="F743" s="38"/>
    </row>
    <row r="744" spans="5:6" ht="12.75">
      <c r="E744" s="38"/>
      <c r="F744" s="38"/>
    </row>
    <row r="745" spans="5:6" ht="12.75">
      <c r="E745" s="38"/>
      <c r="F745" s="38"/>
    </row>
    <row r="746" spans="5:6" ht="12.75">
      <c r="E746" s="38"/>
      <c r="F746" s="38"/>
    </row>
    <row r="747" spans="5:6" ht="12.75">
      <c r="E747" s="38"/>
      <c r="F747" s="38"/>
    </row>
    <row r="748" spans="5:6" ht="12.75">
      <c r="E748" s="38"/>
      <c r="F748" s="38"/>
    </row>
    <row r="749" spans="5:6" ht="12.75">
      <c r="E749" s="38"/>
      <c r="F749" s="38"/>
    </row>
    <row r="750" spans="5:6" ht="12.75">
      <c r="E750" s="38"/>
      <c r="F750" s="38"/>
    </row>
    <row r="751" spans="5:6" ht="12.75">
      <c r="E751" s="38"/>
      <c r="F751" s="38"/>
    </row>
    <row r="752" spans="5:6" ht="12.75">
      <c r="E752" s="38"/>
      <c r="F752" s="38"/>
    </row>
    <row r="753" spans="5:6" ht="12.75">
      <c r="E753" s="38"/>
      <c r="F753" s="38"/>
    </row>
    <row r="754" spans="5:6" ht="12.75">
      <c r="E754" s="38"/>
      <c r="F754" s="38"/>
    </row>
    <row r="755" spans="5:6" ht="12.75">
      <c r="E755" s="38"/>
      <c r="F755" s="38"/>
    </row>
    <row r="756" spans="5:6" ht="12.75">
      <c r="E756" s="38"/>
      <c r="F756" s="38"/>
    </row>
    <row r="757" spans="5:6" ht="12.75">
      <c r="E757" s="38"/>
      <c r="F757" s="38"/>
    </row>
    <row r="758" spans="5:6" ht="12.75">
      <c r="E758" s="38"/>
      <c r="F758" s="38"/>
    </row>
    <row r="759" spans="5:6" ht="12.75">
      <c r="E759" s="38"/>
      <c r="F759" s="38"/>
    </row>
    <row r="760" spans="5:6" ht="12.75">
      <c r="E760" s="38"/>
      <c r="F760" s="38"/>
    </row>
    <row r="761" spans="5:6" ht="12.75">
      <c r="E761" s="38"/>
      <c r="F761" s="38"/>
    </row>
    <row r="762" spans="5:6" ht="12.75">
      <c r="E762" s="38"/>
      <c r="F762" s="38"/>
    </row>
    <row r="763" spans="5:6" ht="12.75">
      <c r="E763" s="38"/>
      <c r="F763" s="38"/>
    </row>
    <row r="764" spans="5:6" ht="12.75">
      <c r="E764" s="38"/>
      <c r="F764" s="38"/>
    </row>
    <row r="765" spans="5:6" ht="12.75">
      <c r="E765" s="38"/>
      <c r="F765" s="38"/>
    </row>
    <row r="766" spans="5:6" ht="12.75">
      <c r="E766" s="38"/>
      <c r="F766" s="38"/>
    </row>
    <row r="767" spans="5:6" ht="12.75">
      <c r="E767" s="38"/>
      <c r="F767" s="38"/>
    </row>
    <row r="768" spans="5:6" ht="12.75">
      <c r="E768" s="38"/>
      <c r="F768" s="38"/>
    </row>
    <row r="769" spans="5:6" ht="12.75">
      <c r="E769" s="38"/>
      <c r="F769" s="38"/>
    </row>
    <row r="770" spans="5:6" ht="12.75">
      <c r="E770" s="38"/>
      <c r="F770" s="38"/>
    </row>
    <row r="771" spans="5:6" ht="12.75">
      <c r="E771" s="38"/>
      <c r="F771" s="38"/>
    </row>
    <row r="772" spans="5:6" ht="12.75">
      <c r="E772" s="38"/>
      <c r="F772" s="38"/>
    </row>
    <row r="773" spans="5:6" ht="12.75">
      <c r="E773" s="38"/>
      <c r="F773" s="38"/>
    </row>
    <row r="774" spans="5:6" ht="12.75">
      <c r="E774" s="38"/>
      <c r="F774" s="38"/>
    </row>
    <row r="775" spans="5:6" ht="12.75">
      <c r="E775" s="38"/>
      <c r="F775" s="38"/>
    </row>
    <row r="776" spans="5:6" ht="12.75">
      <c r="E776" s="38"/>
      <c r="F776" s="38"/>
    </row>
    <row r="777" spans="5:6" ht="12.75">
      <c r="E777" s="38"/>
      <c r="F777" s="38"/>
    </row>
    <row r="778" spans="5:6" ht="12.75">
      <c r="E778" s="38"/>
      <c r="F778" s="38"/>
    </row>
    <row r="779" spans="5:6" ht="12.75">
      <c r="E779" s="38"/>
      <c r="F779" s="38"/>
    </row>
    <row r="780" spans="5:6" ht="12.75">
      <c r="E780" s="38"/>
      <c r="F780" s="38"/>
    </row>
    <row r="781" spans="5:6" ht="12.75">
      <c r="E781" s="38"/>
      <c r="F781" s="38"/>
    </row>
    <row r="782" spans="5:6" ht="12.75">
      <c r="E782" s="38"/>
      <c r="F782" s="38"/>
    </row>
    <row r="783" spans="5:6" ht="12.75">
      <c r="E783" s="38"/>
      <c r="F783" s="38"/>
    </row>
    <row r="784" spans="5:6" ht="12.75">
      <c r="E784" s="38"/>
      <c r="F784" s="38"/>
    </row>
    <row r="785" spans="5:6" ht="12.75">
      <c r="E785" s="38"/>
      <c r="F785" s="38"/>
    </row>
    <row r="786" spans="5:6" ht="12.75">
      <c r="E786" s="38"/>
      <c r="F786" s="38"/>
    </row>
    <row r="787" spans="5:6" ht="12.75">
      <c r="E787" s="38"/>
      <c r="F787" s="38"/>
    </row>
    <row r="788" spans="5:6" ht="12.75">
      <c r="E788" s="38"/>
      <c r="F788" s="38"/>
    </row>
    <row r="789" spans="5:6" ht="12.75">
      <c r="E789" s="38"/>
      <c r="F789" s="38"/>
    </row>
    <row r="790" spans="5:6" ht="12.75">
      <c r="E790" s="38"/>
      <c r="F790" s="38"/>
    </row>
    <row r="791" spans="5:6" ht="12.75">
      <c r="E791" s="38"/>
      <c r="F791" s="38"/>
    </row>
    <row r="792" spans="5:6" ht="12.75">
      <c r="E792" s="38"/>
      <c r="F792" s="38"/>
    </row>
    <row r="793" spans="5:6" ht="12.75">
      <c r="E793" s="38"/>
      <c r="F793" s="38"/>
    </row>
    <row r="794" spans="5:6" ht="12.75">
      <c r="E794" s="38"/>
      <c r="F794" s="38"/>
    </row>
    <row r="795" spans="5:6" ht="12.75">
      <c r="E795" s="38"/>
      <c r="F795" s="38"/>
    </row>
    <row r="796" spans="5:6" ht="12.75">
      <c r="E796" s="38"/>
      <c r="F796" s="38"/>
    </row>
    <row r="797" spans="5:6" ht="12.75">
      <c r="E797" s="38"/>
      <c r="F797" s="38"/>
    </row>
    <row r="798" spans="5:6" ht="12.75">
      <c r="E798" s="38"/>
      <c r="F798" s="38"/>
    </row>
    <row r="799" spans="5:6" ht="12.75">
      <c r="E799" s="38"/>
      <c r="F799" s="38"/>
    </row>
    <row r="800" spans="5:6" ht="12.75">
      <c r="E800" s="38"/>
      <c r="F800" s="38"/>
    </row>
    <row r="801" spans="5:6" ht="12.75">
      <c r="E801" s="38"/>
      <c r="F801" s="38"/>
    </row>
    <row r="802" spans="5:6" ht="12.75">
      <c r="E802" s="38"/>
      <c r="F802" s="38"/>
    </row>
    <row r="803" spans="5:6" ht="12.75">
      <c r="E803" s="38"/>
      <c r="F803" s="38"/>
    </row>
    <row r="804" spans="5:6" ht="12.75">
      <c r="E804" s="38"/>
      <c r="F804" s="38"/>
    </row>
    <row r="805" spans="5:6" ht="12.75">
      <c r="E805" s="38"/>
      <c r="F805" s="38"/>
    </row>
    <row r="806" spans="5:6" ht="12.75">
      <c r="E806" s="38"/>
      <c r="F806" s="38"/>
    </row>
    <row r="807" spans="5:6" ht="12.75">
      <c r="E807" s="38"/>
      <c r="F807" s="38"/>
    </row>
    <row r="808" spans="5:6" ht="12.75">
      <c r="E808" s="38"/>
      <c r="F808" s="38"/>
    </row>
    <row r="809" spans="5:6" ht="12.75">
      <c r="E809" s="38"/>
      <c r="F809" s="38"/>
    </row>
    <row r="810" spans="5:6" ht="12.75">
      <c r="E810" s="38"/>
      <c r="F810" s="38"/>
    </row>
    <row r="811" spans="5:6" ht="12.75">
      <c r="E811" s="38"/>
      <c r="F811" s="38"/>
    </row>
    <row r="812" spans="5:6" ht="12.75">
      <c r="E812" s="38"/>
      <c r="F812" s="38"/>
    </row>
    <row r="813" spans="5:6" ht="12.75">
      <c r="E813" s="38"/>
      <c r="F813" s="38"/>
    </row>
    <row r="814" spans="5:6" ht="12.75">
      <c r="E814" s="38"/>
      <c r="F814" s="38"/>
    </row>
    <row r="815" spans="5:6" ht="12.75">
      <c r="E815" s="38"/>
      <c r="F815" s="38"/>
    </row>
    <row r="816" spans="5:6" ht="12.75">
      <c r="E816" s="38"/>
      <c r="F816" s="38"/>
    </row>
    <row r="817" spans="5:6" ht="12.75">
      <c r="E817" s="38"/>
      <c r="F817" s="38"/>
    </row>
    <row r="818" spans="5:6" ht="12.75">
      <c r="E818" s="38"/>
      <c r="F818" s="38"/>
    </row>
    <row r="819" spans="5:6" ht="12.75">
      <c r="E819" s="38"/>
      <c r="F819" s="38"/>
    </row>
    <row r="820" spans="5:6" ht="12.75">
      <c r="E820" s="38"/>
      <c r="F820" s="38"/>
    </row>
    <row r="821" spans="5:6" ht="12.75">
      <c r="E821" s="38"/>
      <c r="F821" s="38"/>
    </row>
    <row r="822" spans="5:6" ht="12.75">
      <c r="E822" s="38"/>
      <c r="F822" s="38"/>
    </row>
    <row r="823" spans="5:6" ht="12.75">
      <c r="E823" s="38"/>
      <c r="F823" s="38"/>
    </row>
    <row r="824" spans="5:6" ht="12.75">
      <c r="E824" s="38"/>
      <c r="F824" s="38"/>
    </row>
    <row r="825" spans="5:6" ht="12.75">
      <c r="E825" s="38"/>
      <c r="F825" s="38"/>
    </row>
    <row r="826" spans="5:6" ht="12.75">
      <c r="E826" s="38"/>
      <c r="F826" s="38"/>
    </row>
    <row r="827" spans="5:6" ht="12.75">
      <c r="E827" s="38"/>
      <c r="F827" s="38"/>
    </row>
    <row r="828" spans="5:6" ht="12.75">
      <c r="E828" s="38"/>
      <c r="F828" s="38"/>
    </row>
    <row r="829" spans="5:6" ht="12.75">
      <c r="E829" s="38"/>
      <c r="F829" s="38"/>
    </row>
    <row r="830" spans="5:6" ht="12.75">
      <c r="E830" s="38"/>
      <c r="F830" s="38"/>
    </row>
    <row r="831" spans="5:6" ht="12.75">
      <c r="E831" s="38"/>
      <c r="F831" s="38"/>
    </row>
    <row r="832" spans="5:6" ht="12.75">
      <c r="E832" s="38"/>
      <c r="F832" s="38"/>
    </row>
    <row r="833" spans="5:6" ht="12.75">
      <c r="E833" s="38"/>
      <c r="F833" s="38"/>
    </row>
    <row r="834" spans="5:6" ht="12.75">
      <c r="E834" s="38"/>
      <c r="F834" s="38"/>
    </row>
    <row r="835" spans="5:6" ht="12.75">
      <c r="E835" s="38"/>
      <c r="F835" s="38"/>
    </row>
    <row r="836" spans="5:6" ht="12.75">
      <c r="E836" s="38"/>
      <c r="F836" s="38"/>
    </row>
    <row r="837" spans="5:6" ht="12.75">
      <c r="E837" s="38"/>
      <c r="F837" s="38"/>
    </row>
    <row r="838" spans="5:6" ht="12.75">
      <c r="E838" s="38"/>
      <c r="F838" s="38"/>
    </row>
    <row r="839" spans="5:6" ht="12.75">
      <c r="E839" s="38"/>
      <c r="F839" s="38"/>
    </row>
    <row r="840" spans="5:6" ht="12.75">
      <c r="E840" s="38"/>
      <c r="F840" s="38"/>
    </row>
    <row r="841" spans="5:6" ht="12.75">
      <c r="E841" s="38"/>
      <c r="F841" s="38"/>
    </row>
    <row r="842" spans="5:6" ht="12.75">
      <c r="E842" s="38"/>
      <c r="F842" s="38"/>
    </row>
    <row r="843" spans="5:6" ht="12.75">
      <c r="E843" s="38"/>
      <c r="F843" s="38"/>
    </row>
    <row r="844" spans="5:6" ht="12.75">
      <c r="E844" s="38"/>
      <c r="F844" s="38"/>
    </row>
    <row r="845" spans="5:6" ht="12.75">
      <c r="E845" s="38"/>
      <c r="F845" s="38"/>
    </row>
    <row r="846" spans="5:6" ht="12.75">
      <c r="E846" s="38"/>
      <c r="F846" s="38"/>
    </row>
    <row r="847" spans="5:6" ht="12.75">
      <c r="E847" s="38"/>
      <c r="F847" s="38"/>
    </row>
    <row r="848" spans="5:6" ht="12.75">
      <c r="E848" s="38"/>
      <c r="F848" s="38"/>
    </row>
    <row r="849" spans="5:6" ht="12.75">
      <c r="E849" s="38"/>
      <c r="F849" s="38"/>
    </row>
    <row r="850" spans="5:6" ht="12.75">
      <c r="E850" s="38"/>
      <c r="F850" s="38"/>
    </row>
    <row r="851" spans="5:6" ht="12.75">
      <c r="E851" s="38"/>
      <c r="F851" s="38"/>
    </row>
    <row r="852" spans="5:6" ht="12.75">
      <c r="E852" s="38"/>
      <c r="F852" s="38"/>
    </row>
    <row r="853" spans="5:6" ht="12.75">
      <c r="E853" s="38"/>
      <c r="F853" s="38"/>
    </row>
    <row r="854" spans="5:6" ht="12.75">
      <c r="E854" s="38"/>
      <c r="F854" s="38"/>
    </row>
    <row r="855" spans="5:6" ht="12.75">
      <c r="E855" s="38"/>
      <c r="F855" s="38"/>
    </row>
    <row r="856" spans="5:6" ht="12.75">
      <c r="E856" s="38"/>
      <c r="F856" s="38"/>
    </row>
    <row r="857" spans="5:6" ht="12.75">
      <c r="E857" s="38"/>
      <c r="F857" s="38"/>
    </row>
    <row r="858" spans="5:6" ht="12.75">
      <c r="E858" s="38"/>
      <c r="F858" s="38"/>
    </row>
    <row r="859" spans="5:6" ht="12.75">
      <c r="E859" s="38"/>
      <c r="F859" s="38"/>
    </row>
    <row r="860" spans="5:6" ht="12.75">
      <c r="E860" s="38"/>
      <c r="F860" s="38"/>
    </row>
    <row r="861" spans="5:6" ht="12.75">
      <c r="E861" s="38"/>
      <c r="F861" s="38"/>
    </row>
    <row r="862" spans="5:6" ht="12.75">
      <c r="E862" s="38"/>
      <c r="F862" s="38"/>
    </row>
    <row r="863" spans="5:6" ht="12.75">
      <c r="E863" s="38"/>
      <c r="F863" s="38"/>
    </row>
    <row r="864" spans="5:6" ht="12.75">
      <c r="E864" s="38"/>
      <c r="F864" s="38"/>
    </row>
    <row r="865" spans="5:6" ht="12.75">
      <c r="E865" s="38"/>
      <c r="F865" s="38"/>
    </row>
    <row r="866" spans="5:6" ht="12.75">
      <c r="E866" s="38"/>
      <c r="F866" s="38"/>
    </row>
    <row r="867" spans="5:6" ht="12.75">
      <c r="E867" s="38"/>
      <c r="F867" s="38"/>
    </row>
    <row r="868" spans="5:6" ht="12.75">
      <c r="E868" s="38"/>
      <c r="F868" s="38"/>
    </row>
    <row r="869" spans="5:6" ht="12.75">
      <c r="E869" s="38"/>
      <c r="F869" s="38"/>
    </row>
    <row r="870" spans="5:6" ht="12.75">
      <c r="E870" s="38"/>
      <c r="F870" s="38"/>
    </row>
    <row r="871" spans="5:6" ht="12.75">
      <c r="E871" s="38"/>
      <c r="F871" s="38"/>
    </row>
    <row r="872" spans="5:6" ht="12.75">
      <c r="E872" s="38"/>
      <c r="F872" s="38"/>
    </row>
    <row r="873" spans="5:6" ht="12.75">
      <c r="E873" s="38"/>
      <c r="F873" s="38"/>
    </row>
    <row r="874" spans="5:6" ht="12.75">
      <c r="E874" s="38"/>
      <c r="F874" s="38"/>
    </row>
    <row r="875" spans="5:6" ht="12.75">
      <c r="E875" s="38"/>
      <c r="F875" s="38"/>
    </row>
    <row r="876" spans="5:6" ht="12.75">
      <c r="E876" s="38"/>
      <c r="F876" s="38"/>
    </row>
    <row r="877" spans="5:6" ht="12.75">
      <c r="E877" s="38"/>
      <c r="F877" s="38"/>
    </row>
    <row r="878" spans="5:6" ht="12.75">
      <c r="E878" s="38"/>
      <c r="F878" s="38"/>
    </row>
    <row r="879" spans="5:6" ht="12.75">
      <c r="E879" s="38"/>
      <c r="F879" s="38"/>
    </row>
    <row r="880" spans="5:6" ht="12.75">
      <c r="E880" s="38"/>
      <c r="F880" s="38"/>
    </row>
    <row r="881" spans="5:6" ht="12.75">
      <c r="E881" s="38"/>
      <c r="F881" s="38"/>
    </row>
    <row r="882" spans="5:6" ht="12.75">
      <c r="E882" s="38"/>
      <c r="F882" s="38"/>
    </row>
    <row r="883" spans="5:6" ht="12.75">
      <c r="E883" s="38"/>
      <c r="F883" s="38"/>
    </row>
    <row r="884" spans="5:6" ht="12.75">
      <c r="E884" s="38"/>
      <c r="F884" s="38"/>
    </row>
    <row r="885" spans="5:6" ht="12.75">
      <c r="E885" s="38"/>
      <c r="F885" s="38"/>
    </row>
    <row r="886" spans="5:6" ht="12.75">
      <c r="E886" s="38"/>
      <c r="F886" s="38"/>
    </row>
    <row r="887" spans="5:6" ht="12.75">
      <c r="E887" s="38"/>
      <c r="F887" s="38"/>
    </row>
    <row r="888" spans="5:6" ht="12.75">
      <c r="E888" s="38"/>
      <c r="F888" s="38"/>
    </row>
    <row r="889" spans="5:6" ht="12.75">
      <c r="E889" s="38"/>
      <c r="F889" s="38"/>
    </row>
    <row r="890" spans="5:6" ht="12.75">
      <c r="E890" s="38"/>
      <c r="F890" s="38"/>
    </row>
    <row r="891" spans="5:6" ht="12.75">
      <c r="E891" s="38"/>
      <c r="F891" s="38"/>
    </row>
    <row r="892" spans="5:6" ht="12.75">
      <c r="E892" s="38"/>
      <c r="F892" s="38"/>
    </row>
    <row r="893" spans="5:6" ht="12.75">
      <c r="E893" s="38"/>
      <c r="F893" s="38"/>
    </row>
    <row r="894" spans="5:6" ht="12.75">
      <c r="E894" s="38"/>
      <c r="F894" s="38"/>
    </row>
    <row r="895" spans="5:6" ht="12.75">
      <c r="E895" s="38"/>
      <c r="F895" s="38"/>
    </row>
    <row r="896" spans="5:6" ht="12.75">
      <c r="E896" s="38"/>
      <c r="F896" s="38"/>
    </row>
    <row r="897" spans="5:6" ht="12.75">
      <c r="E897" s="38"/>
      <c r="F897" s="38"/>
    </row>
    <row r="898" spans="5:6" ht="12.75">
      <c r="E898" s="38"/>
      <c r="F898" s="38"/>
    </row>
    <row r="899" spans="5:6" ht="12.75">
      <c r="E899" s="38"/>
      <c r="F899" s="38"/>
    </row>
    <row r="900" spans="5:6" ht="12.75">
      <c r="E900" s="38"/>
      <c r="F900" s="38"/>
    </row>
    <row r="901" spans="5:6" ht="12.75">
      <c r="E901" s="38"/>
      <c r="F901" s="38"/>
    </row>
    <row r="902" spans="5:6" ht="12.75">
      <c r="E902" s="38"/>
      <c r="F902" s="38"/>
    </row>
    <row r="903" spans="5:6" ht="12.75">
      <c r="E903" s="38"/>
      <c r="F903" s="38"/>
    </row>
    <row r="904" spans="5:6" ht="12.75">
      <c r="E904" s="38"/>
      <c r="F904" s="38"/>
    </row>
    <row r="905" spans="5:6" ht="12.75">
      <c r="E905" s="38"/>
      <c r="F905" s="38"/>
    </row>
    <row r="906" spans="5:6" ht="12.75">
      <c r="E906" s="38"/>
      <c r="F906" s="38"/>
    </row>
    <row r="907" spans="5:6" ht="12.75">
      <c r="E907" s="38"/>
      <c r="F907" s="38"/>
    </row>
    <row r="908" spans="5:6" ht="12.75">
      <c r="E908" s="38"/>
      <c r="F908" s="38"/>
    </row>
    <row r="909" spans="5:6" ht="12.75">
      <c r="E909" s="38"/>
      <c r="F909" s="38"/>
    </row>
    <row r="910" spans="5:6" ht="12.75">
      <c r="E910" s="38"/>
      <c r="F910" s="38"/>
    </row>
    <row r="911" spans="5:6" ht="12.75">
      <c r="E911" s="38"/>
      <c r="F911" s="38"/>
    </row>
    <row r="912" spans="5:6" ht="12.75">
      <c r="E912" s="38"/>
      <c r="F912" s="38"/>
    </row>
    <row r="913" spans="5:6" ht="12.75">
      <c r="E913" s="38"/>
      <c r="F913" s="38"/>
    </row>
    <row r="914" spans="5:6" ht="12.75">
      <c r="E914" s="38"/>
      <c r="F914" s="38"/>
    </row>
    <row r="915" spans="5:6" ht="12.75">
      <c r="E915" s="38"/>
      <c r="F915" s="38"/>
    </row>
    <row r="916" spans="5:6" ht="12.75">
      <c r="E916" s="38"/>
      <c r="F916" s="38"/>
    </row>
    <row r="917" spans="5:6" ht="12.75">
      <c r="E917" s="38"/>
      <c r="F917" s="38"/>
    </row>
    <row r="918" spans="5:6" ht="12.75">
      <c r="E918" s="38"/>
      <c r="F918" s="38"/>
    </row>
    <row r="919" spans="5:6" ht="12.75">
      <c r="E919" s="38"/>
      <c r="F919" s="38"/>
    </row>
    <row r="920" spans="5:6" ht="12.75">
      <c r="E920" s="38"/>
      <c r="F920" s="38"/>
    </row>
    <row r="921" spans="5:6" ht="12.75">
      <c r="E921" s="38"/>
      <c r="F921" s="38"/>
    </row>
    <row r="922" spans="5:6" ht="12.75">
      <c r="E922" s="38"/>
      <c r="F922" s="38"/>
    </row>
    <row r="923" spans="5:6" ht="12.75">
      <c r="E923" s="38"/>
      <c r="F923" s="38"/>
    </row>
    <row r="924" spans="5:6" ht="12.75">
      <c r="E924" s="38"/>
      <c r="F924" s="38"/>
    </row>
    <row r="925" spans="5:6" ht="12.75">
      <c r="E925" s="38"/>
      <c r="F925" s="38"/>
    </row>
    <row r="926" spans="5:6" ht="12.75">
      <c r="E926" s="38"/>
      <c r="F926" s="38"/>
    </row>
    <row r="927" spans="5:6" ht="12.75">
      <c r="E927" s="38"/>
      <c r="F927" s="38"/>
    </row>
    <row r="928" spans="5:6" ht="12.75">
      <c r="E928" s="38"/>
      <c r="F928" s="38"/>
    </row>
    <row r="929" spans="5:6" ht="12.75">
      <c r="E929" s="38"/>
      <c r="F929" s="38"/>
    </row>
    <row r="930" spans="5:6" ht="12.75">
      <c r="E930" s="38"/>
      <c r="F930" s="38"/>
    </row>
    <row r="931" spans="5:6" ht="12.75">
      <c r="E931" s="38"/>
      <c r="F931" s="38"/>
    </row>
    <row r="932" spans="5:6" ht="12.75">
      <c r="E932" s="38"/>
      <c r="F932" s="38"/>
    </row>
    <row r="933" spans="5:6" ht="12.75">
      <c r="E933" s="38"/>
      <c r="F933" s="38"/>
    </row>
    <row r="934" spans="5:6" ht="12.75">
      <c r="E934" s="38"/>
      <c r="F934" s="38"/>
    </row>
    <row r="935" spans="5:6" ht="12.75">
      <c r="E935" s="38"/>
      <c r="F935" s="38"/>
    </row>
    <row r="936" spans="5:6" ht="12.75">
      <c r="E936" s="38"/>
      <c r="F936" s="38"/>
    </row>
    <row r="937" spans="5:6" ht="12.75">
      <c r="E937" s="38"/>
      <c r="F937" s="38"/>
    </row>
    <row r="938" spans="5:6" ht="12.75">
      <c r="E938" s="38"/>
      <c r="F938" s="38"/>
    </row>
    <row r="939" spans="5:6" ht="12.75">
      <c r="E939" s="38"/>
      <c r="F939" s="38"/>
    </row>
    <row r="940" spans="5:6" ht="12.75">
      <c r="E940" s="38"/>
      <c r="F940" s="38"/>
    </row>
    <row r="941" spans="5:6" ht="12.75">
      <c r="E941" s="38"/>
      <c r="F941" s="38"/>
    </row>
    <row r="942" spans="5:6" ht="12.75">
      <c r="E942" s="38"/>
      <c r="F942" s="38"/>
    </row>
    <row r="943" spans="5:6" ht="12.75">
      <c r="E943" s="38"/>
      <c r="F943" s="38"/>
    </row>
    <row r="944" spans="5:6" ht="12.75">
      <c r="E944" s="38"/>
      <c r="F944" s="38"/>
    </row>
    <row r="945" spans="5:6" ht="12.75">
      <c r="E945" s="38"/>
      <c r="F945" s="38"/>
    </row>
    <row r="946" spans="5:6" ht="12.75">
      <c r="E946" s="38"/>
      <c r="F946" s="38"/>
    </row>
    <row r="947" spans="5:6" ht="12.75">
      <c r="E947" s="38"/>
      <c r="F947" s="38"/>
    </row>
    <row r="948" spans="5:6" ht="12.75">
      <c r="E948" s="38"/>
      <c r="F948" s="38"/>
    </row>
    <row r="949" spans="5:6" ht="12.75">
      <c r="E949" s="38"/>
      <c r="F949" s="38"/>
    </row>
    <row r="950" spans="5:6" ht="12.75">
      <c r="E950" s="38"/>
      <c r="F950" s="38"/>
    </row>
    <row r="951" spans="5:6" ht="12.75">
      <c r="E951" s="38"/>
      <c r="F951" s="38"/>
    </row>
    <row r="952" spans="5:6" ht="12.75">
      <c r="E952" s="38"/>
      <c r="F952" s="38"/>
    </row>
    <row r="953" spans="5:6" ht="12.75">
      <c r="E953" s="38"/>
      <c r="F953" s="38"/>
    </row>
    <row r="954" spans="5:6" ht="12.75">
      <c r="E954" s="38"/>
      <c r="F954" s="38"/>
    </row>
    <row r="955" spans="5:6" ht="12.75">
      <c r="E955" s="38"/>
      <c r="F955" s="38"/>
    </row>
    <row r="956" spans="5:6" ht="12.75">
      <c r="E956" s="38"/>
      <c r="F956" s="38"/>
    </row>
    <row r="957" spans="5:6" ht="12.75">
      <c r="E957" s="38"/>
      <c r="F957" s="38"/>
    </row>
    <row r="958" spans="5:6" ht="12.75">
      <c r="E958" s="38"/>
      <c r="F958" s="38"/>
    </row>
    <row r="959" spans="5:6" ht="12.75">
      <c r="E959" s="38"/>
      <c r="F959" s="38"/>
    </row>
    <row r="960" spans="5:6" ht="12.75">
      <c r="E960" s="38"/>
      <c r="F960" s="38"/>
    </row>
    <row r="961" spans="5:6" ht="12.75">
      <c r="E961" s="38"/>
      <c r="F961" s="38"/>
    </row>
    <row r="962" spans="5:6" ht="12.75">
      <c r="E962" s="38"/>
      <c r="F962" s="38"/>
    </row>
    <row r="963" spans="5:6" ht="12.75">
      <c r="E963" s="38"/>
      <c r="F963" s="38"/>
    </row>
    <row r="964" spans="5:6" ht="12.75">
      <c r="E964" s="38"/>
      <c r="F964" s="38"/>
    </row>
    <row r="965" spans="5:6" ht="12.75">
      <c r="E965" s="38"/>
      <c r="F965" s="38"/>
    </row>
    <row r="966" spans="5:6" ht="12.75">
      <c r="E966" s="38"/>
      <c r="F966" s="38"/>
    </row>
    <row r="967" spans="5:6" ht="12.75">
      <c r="E967" s="38"/>
      <c r="F967" s="38"/>
    </row>
    <row r="968" spans="5:6" ht="12.75">
      <c r="E968" s="38"/>
      <c r="F968" s="38"/>
    </row>
    <row r="969" spans="5:6" ht="12.75">
      <c r="E969" s="38"/>
      <c r="F969" s="38"/>
    </row>
    <row r="970" spans="5:6" ht="12.75">
      <c r="E970" s="38"/>
      <c r="F970" s="38"/>
    </row>
    <row r="971" spans="5:6" ht="12.75">
      <c r="E971" s="38"/>
      <c r="F971" s="38"/>
    </row>
    <row r="972" spans="5:6" ht="12.75">
      <c r="E972" s="38"/>
      <c r="F972" s="38"/>
    </row>
    <row r="973" spans="5:6" ht="12.75">
      <c r="E973" s="38"/>
      <c r="F973" s="38"/>
    </row>
    <row r="974" spans="5:6" ht="12.75">
      <c r="E974" s="38"/>
      <c r="F974" s="38"/>
    </row>
    <row r="975" spans="5:6" ht="12.75">
      <c r="E975" s="38"/>
      <c r="F975" s="38"/>
    </row>
    <row r="976" spans="5:6" ht="12.75">
      <c r="E976" s="38"/>
      <c r="F976" s="38"/>
    </row>
    <row r="977" spans="5:6" ht="12.75">
      <c r="E977" s="38"/>
      <c r="F977" s="38"/>
    </row>
    <row r="978" spans="5:6" ht="12.75">
      <c r="E978" s="38"/>
      <c r="F978" s="38"/>
    </row>
    <row r="979" spans="5:6" ht="12.75">
      <c r="E979" s="38"/>
      <c r="F979" s="38"/>
    </row>
    <row r="980" spans="5:6" ht="12.75">
      <c r="E980" s="38"/>
      <c r="F980" s="38"/>
    </row>
    <row r="981" spans="5:6" ht="12.75">
      <c r="E981" s="38"/>
      <c r="F981" s="38"/>
    </row>
    <row r="982" spans="5:6" ht="12.75">
      <c r="E982" s="38"/>
      <c r="F982" s="38"/>
    </row>
    <row r="983" spans="5:6" ht="12.75">
      <c r="E983" s="38"/>
      <c r="F983" s="38"/>
    </row>
    <row r="984" spans="5:6" ht="12.75">
      <c r="E984" s="38"/>
      <c r="F984" s="38"/>
    </row>
    <row r="985" spans="5:6" ht="12.75">
      <c r="E985" s="38"/>
      <c r="F985" s="38"/>
    </row>
    <row r="986" spans="5:6" ht="12.75">
      <c r="E986" s="38"/>
      <c r="F986" s="38"/>
    </row>
    <row r="987" spans="5:6" ht="12.75">
      <c r="E987" s="38"/>
      <c r="F987" s="38"/>
    </row>
    <row r="988" spans="5:6" ht="12.75">
      <c r="E988" s="38"/>
      <c r="F988" s="38"/>
    </row>
    <row r="989" spans="5:6" ht="12.75">
      <c r="E989" s="38"/>
      <c r="F989" s="38"/>
    </row>
    <row r="990" spans="5:6" ht="12.75">
      <c r="E990" s="38"/>
      <c r="F990" s="38"/>
    </row>
    <row r="991" spans="5:6" ht="12.75">
      <c r="E991" s="38"/>
      <c r="F991" s="38"/>
    </row>
    <row r="992" spans="5:6" ht="12.75">
      <c r="E992" s="38"/>
      <c r="F992" s="38"/>
    </row>
    <row r="993" spans="5:6" ht="12.75">
      <c r="E993" s="38"/>
      <c r="F993" s="38"/>
    </row>
    <row r="994" spans="5:6" ht="12.75">
      <c r="E994" s="38"/>
      <c r="F994" s="38"/>
    </row>
    <row r="995" spans="5:6" ht="12.75">
      <c r="E995" s="38"/>
      <c r="F995" s="38"/>
    </row>
    <row r="996" spans="5:6" ht="12.75">
      <c r="E996" s="38"/>
      <c r="F996" s="38"/>
    </row>
    <row r="997" spans="5:6" ht="12.75">
      <c r="E997" s="38"/>
      <c r="F997" s="38"/>
    </row>
    <row r="998" spans="5:6" ht="12.75">
      <c r="E998" s="38"/>
      <c r="F998" s="38"/>
    </row>
    <row r="999" spans="5:6" ht="12.75">
      <c r="E999" s="38"/>
      <c r="F999" s="38"/>
    </row>
    <row r="1000" spans="5:6" ht="12.75">
      <c r="E1000" s="38"/>
      <c r="F1000" s="38"/>
    </row>
  </sheetData>
  <mergeCells count="1">
    <mergeCell ref="A1:E1"/>
  </mergeCells>
  <conditionalFormatting sqref="F3">
    <cfRule type="notContainsBlanks" dxfId="1" priority="1">
      <formula>LEN(TRIM(F3))&gt;0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opLeftCell="A25" workbookViewId="0">
      <selection activeCell="D7" sqref="D7"/>
    </sheetView>
  </sheetViews>
  <sheetFormatPr baseColWidth="10" defaultColWidth="14.42578125" defaultRowHeight="15.75" customHeight="1"/>
  <cols>
    <col min="1" max="1" width="76.7109375" customWidth="1"/>
    <col min="4" max="4" width="15.28515625" customWidth="1"/>
    <col min="6" max="6" width="24" customWidth="1"/>
    <col min="8" max="8" width="15.28515625" customWidth="1"/>
  </cols>
  <sheetData>
    <row r="1" spans="1:11" ht="15.75" customHeight="1">
      <c r="A1" s="291" t="s">
        <v>79</v>
      </c>
      <c r="B1" s="287"/>
      <c r="C1" s="287"/>
      <c r="D1" s="287"/>
      <c r="E1" s="287"/>
    </row>
    <row r="2" spans="1:11" ht="15.75" customHeight="1">
      <c r="B2" s="53" t="s">
        <v>101</v>
      </c>
      <c r="C2" s="54" t="s">
        <v>102</v>
      </c>
      <c r="D2" s="55" t="s">
        <v>103</v>
      </c>
      <c r="E2" s="314" t="s">
        <v>104</v>
      </c>
    </row>
    <row r="3" spans="1:11" ht="15.75" customHeight="1">
      <c r="A3" s="57" t="s">
        <v>105</v>
      </c>
      <c r="B3" s="58"/>
      <c r="C3" s="59"/>
      <c r="D3" s="60">
        <f>SUM(D4:D6)</f>
        <v>326.76</v>
      </c>
      <c r="E3" s="62">
        <f>D3/($D$3+$D$7+$D$13)*$D$16</f>
        <v>35.528979360238324</v>
      </c>
      <c r="F3" s="63"/>
      <c r="G3" s="64"/>
    </row>
    <row r="4" spans="1:11" ht="15.75" customHeight="1">
      <c r="A4" s="63" t="s">
        <v>106</v>
      </c>
      <c r="B4" s="65">
        <v>1.51</v>
      </c>
      <c r="C4" s="10">
        <v>150</v>
      </c>
      <c r="D4" s="66">
        <f t="shared" ref="D4:D6" si="0">B4*C4</f>
        <v>226.5</v>
      </c>
      <c r="E4" s="67"/>
    </row>
    <row r="5" spans="1:11" ht="15.75" customHeight="1">
      <c r="A5" s="63" t="s">
        <v>107</v>
      </c>
      <c r="B5" s="65">
        <v>50.26</v>
      </c>
      <c r="C5" s="14">
        <v>1</v>
      </c>
      <c r="D5" s="66">
        <f t="shared" si="0"/>
        <v>50.26</v>
      </c>
      <c r="E5" s="67"/>
    </row>
    <row r="6" spans="1:11" ht="15.75" customHeight="1">
      <c r="A6" s="63" t="s">
        <v>108</v>
      </c>
      <c r="B6" s="65">
        <v>50</v>
      </c>
      <c r="C6" s="14">
        <v>1</v>
      </c>
      <c r="D6" s="66">
        <f t="shared" si="0"/>
        <v>50</v>
      </c>
      <c r="E6" s="67"/>
    </row>
    <row r="7" spans="1:11" ht="15.75" customHeight="1">
      <c r="A7" s="57" t="s">
        <v>109</v>
      </c>
      <c r="B7" s="57"/>
      <c r="C7" s="57"/>
      <c r="D7" s="68">
        <f>SUM(D8:D10)</f>
        <v>147.95999999999998</v>
      </c>
      <c r="E7" s="62">
        <f>D7/($D$3+$D$7+$D$13)*$D$16</f>
        <v>16.087855876303284</v>
      </c>
      <c r="F7" s="63"/>
      <c r="G7" s="64"/>
    </row>
    <row r="8" spans="1:11" ht="15.75" customHeight="1">
      <c r="A8" s="63" t="s">
        <v>106</v>
      </c>
      <c r="B8" s="65">
        <v>3</v>
      </c>
      <c r="C8" s="10">
        <v>30</v>
      </c>
      <c r="D8" s="66">
        <f t="shared" ref="D8:D10" si="1">B8*C8</f>
        <v>90</v>
      </c>
      <c r="E8" s="67"/>
    </row>
    <row r="9" spans="1:11" ht="15.75" customHeight="1">
      <c r="A9" s="63" t="s">
        <v>107</v>
      </c>
      <c r="B9" s="65">
        <v>7.96</v>
      </c>
      <c r="C9" s="14">
        <v>1</v>
      </c>
      <c r="D9" s="66">
        <f t="shared" si="1"/>
        <v>7.96</v>
      </c>
      <c r="E9" s="67"/>
    </row>
    <row r="10" spans="1:11" ht="15.75" customHeight="1">
      <c r="A10" s="63" t="s">
        <v>108</v>
      </c>
      <c r="B10" s="65">
        <v>50</v>
      </c>
      <c r="C10" s="14">
        <v>1</v>
      </c>
      <c r="D10" s="66">
        <f t="shared" si="1"/>
        <v>50</v>
      </c>
      <c r="E10" s="67"/>
      <c r="F10" s="10"/>
    </row>
    <row r="11" spans="1:11" ht="15.75" customHeight="1">
      <c r="A11" s="57" t="s">
        <v>110</v>
      </c>
      <c r="B11" s="57"/>
      <c r="C11" s="57"/>
      <c r="D11" s="68">
        <f>SUM(D12)</f>
        <v>160</v>
      </c>
      <c r="E11" s="69"/>
      <c r="F11" s="63"/>
      <c r="G11" s="64"/>
    </row>
    <row r="12" spans="1:11" ht="15.75" customHeight="1">
      <c r="A12" s="63" t="s">
        <v>111</v>
      </c>
      <c r="B12" s="65">
        <v>160</v>
      </c>
      <c r="C12" s="14">
        <v>1</v>
      </c>
      <c r="D12" s="70">
        <f>B12*C12</f>
        <v>160</v>
      </c>
      <c r="E12" s="69"/>
      <c r="F12" s="63"/>
      <c r="G12" s="64"/>
    </row>
    <row r="13" spans="1:11" ht="15.75" customHeight="1">
      <c r="A13" s="57" t="s">
        <v>112</v>
      </c>
      <c r="B13" s="57"/>
      <c r="C13" s="57"/>
      <c r="D13" s="68">
        <f>SUM(D14:D15)</f>
        <v>230.23</v>
      </c>
      <c r="E13" s="62">
        <f>D13/($D$3+$D$7+$D$13)*$D$16</f>
        <v>25.033164763458405</v>
      </c>
      <c r="F13" s="63"/>
    </row>
    <row r="14" spans="1:11" ht="15.75" customHeight="1">
      <c r="A14" s="63" t="s">
        <v>113</v>
      </c>
      <c r="B14" s="65">
        <v>30</v>
      </c>
      <c r="C14" s="10">
        <v>7</v>
      </c>
      <c r="D14" s="66">
        <f t="shared" ref="D14:D15" si="2">B14*C14</f>
        <v>210</v>
      </c>
      <c r="E14" s="71"/>
    </row>
    <row r="15" spans="1:11" ht="15.75" customHeight="1">
      <c r="A15" s="63" t="s">
        <v>107</v>
      </c>
      <c r="B15" s="65">
        <v>2.89</v>
      </c>
      <c r="C15" s="14">
        <v>7</v>
      </c>
      <c r="D15" s="66">
        <f t="shared" si="2"/>
        <v>20.23</v>
      </c>
      <c r="E15" s="71"/>
    </row>
    <row r="16" spans="1:11" ht="15.75" customHeight="1">
      <c r="A16" s="72" t="s">
        <v>114</v>
      </c>
      <c r="B16" s="73"/>
      <c r="C16" s="73"/>
      <c r="D16" s="74">
        <f>SUM(D17:D20)</f>
        <v>76.650000000000006</v>
      </c>
      <c r="E16" s="69"/>
      <c r="I16" s="2"/>
      <c r="J16" s="2"/>
      <c r="K16" s="2"/>
    </row>
    <row r="17" spans="1:10" ht="15.75" customHeight="1">
      <c r="A17" s="75" t="s">
        <v>115</v>
      </c>
      <c r="B17" s="76">
        <f>60*0.001</f>
        <v>0.06</v>
      </c>
      <c r="C17" s="77">
        <v>350</v>
      </c>
      <c r="D17" s="78">
        <f t="shared" ref="D17:D18" si="3">C17*B17</f>
        <v>21</v>
      </c>
      <c r="E17" s="71"/>
      <c r="F17" s="2"/>
      <c r="I17" s="2"/>
      <c r="J17" s="2"/>
    </row>
    <row r="18" spans="1:10" ht="15.75" customHeight="1">
      <c r="A18" s="75" t="s">
        <v>116</v>
      </c>
      <c r="B18" s="76">
        <v>0.06</v>
      </c>
      <c r="C18" s="77">
        <v>175</v>
      </c>
      <c r="D18" s="78">
        <f t="shared" si="3"/>
        <v>10.5</v>
      </c>
      <c r="E18" s="71"/>
    </row>
    <row r="19" spans="1:10" ht="15.75" customHeight="1">
      <c r="A19" s="75" t="s">
        <v>117</v>
      </c>
      <c r="B19" s="76">
        <v>7.8E-2</v>
      </c>
      <c r="C19" s="77">
        <v>175</v>
      </c>
      <c r="D19" s="78">
        <f>C19*$B$19</f>
        <v>13.65</v>
      </c>
      <c r="E19" s="71"/>
    </row>
    <row r="20" spans="1:10" ht="15.75" customHeight="1">
      <c r="A20" s="75" t="s">
        <v>118</v>
      </c>
      <c r="B20" s="79">
        <f>0.09</f>
        <v>0.09</v>
      </c>
      <c r="C20" s="77">
        <v>350</v>
      </c>
      <c r="D20" s="78">
        <f>C20*$B$20</f>
        <v>31.5</v>
      </c>
      <c r="E20" s="71"/>
    </row>
    <row r="21" spans="1:10" ht="15.75" customHeight="1">
      <c r="A21" s="57"/>
      <c r="B21" s="80"/>
      <c r="C21" s="80"/>
      <c r="D21" s="81"/>
      <c r="E21" s="82"/>
    </row>
    <row r="22" spans="1:10">
      <c r="A22" s="290" t="s">
        <v>119</v>
      </c>
      <c r="B22" s="287"/>
      <c r="C22" s="287"/>
      <c r="D22" s="84">
        <f>D3+D7+D13+D11</f>
        <v>864.94999999999993</v>
      </c>
    </row>
    <row r="23" spans="1:10">
      <c r="A23" s="290" t="s">
        <v>120</v>
      </c>
      <c r="B23" s="287"/>
      <c r="C23" s="287"/>
      <c r="D23" s="84">
        <f>D13+D7+D3</f>
        <v>704.94999999999993</v>
      </c>
    </row>
    <row r="24" spans="1:10">
      <c r="A24" s="83"/>
      <c r="B24" s="83"/>
      <c r="C24" s="83"/>
      <c r="D24" s="84"/>
    </row>
    <row r="25" spans="1:10" ht="15.75" customHeight="1">
      <c r="A25" s="291" t="s">
        <v>90</v>
      </c>
      <c r="B25" s="287"/>
      <c r="C25" s="287"/>
      <c r="D25" s="287"/>
      <c r="E25" s="287"/>
    </row>
    <row r="26" spans="1:10" ht="15.75" customHeight="1">
      <c r="A26" s="85"/>
      <c r="B26" s="53" t="s">
        <v>101</v>
      </c>
      <c r="C26" s="86" t="s">
        <v>121</v>
      </c>
      <c r="D26" s="55" t="s">
        <v>103</v>
      </c>
      <c r="E26" s="314" t="s">
        <v>104</v>
      </c>
    </row>
    <row r="27" spans="1:10" ht="15.75" customHeight="1">
      <c r="A27" s="57" t="s">
        <v>105</v>
      </c>
      <c r="B27" s="58"/>
      <c r="C27" s="87"/>
      <c r="D27" s="90">
        <f>SUM(D28:D30)</f>
        <v>275.20000000000005</v>
      </c>
      <c r="E27" s="62">
        <f>D27/($D$27+$D$31+$D$37)*$D$40</f>
        <v>40.42327961213423</v>
      </c>
    </row>
    <row r="28" spans="1:10" ht="15.75" customHeight="1">
      <c r="A28" s="63" t="s">
        <v>127</v>
      </c>
      <c r="B28" s="65">
        <v>1.54</v>
      </c>
      <c r="C28" s="94">
        <v>120</v>
      </c>
      <c r="D28" s="66">
        <f t="shared" ref="D28:D30" si="4">B28*C28</f>
        <v>184.8</v>
      </c>
      <c r="E28" s="96"/>
    </row>
    <row r="29" spans="1:10" ht="15.75" customHeight="1">
      <c r="A29" s="63" t="s">
        <v>129</v>
      </c>
      <c r="B29" s="65">
        <v>40.4</v>
      </c>
      <c r="C29" s="98">
        <v>1</v>
      </c>
      <c r="D29" s="66">
        <f t="shared" si="4"/>
        <v>40.4</v>
      </c>
      <c r="E29" s="96"/>
    </row>
    <row r="30" spans="1:10" ht="15.75" customHeight="1">
      <c r="A30" s="63" t="s">
        <v>108</v>
      </c>
      <c r="B30" s="65">
        <v>50</v>
      </c>
      <c r="C30" s="98">
        <v>1</v>
      </c>
      <c r="D30" s="66">
        <f t="shared" si="4"/>
        <v>50</v>
      </c>
      <c r="E30" s="96"/>
    </row>
    <row r="31" spans="1:10" ht="15.75" customHeight="1">
      <c r="A31" s="57" t="s">
        <v>109</v>
      </c>
      <c r="B31" s="57"/>
      <c r="C31" s="100"/>
      <c r="D31" s="68">
        <f>SUM(D32:D34)</f>
        <v>147.95999999999998</v>
      </c>
      <c r="E31" s="62">
        <f>D31/($D$27+$D$31+$D$37)*$D$40</f>
        <v>21.73338826820995</v>
      </c>
    </row>
    <row r="32" spans="1:10" ht="15.75" customHeight="1">
      <c r="A32" s="63" t="s">
        <v>127</v>
      </c>
      <c r="B32" s="65">
        <v>3</v>
      </c>
      <c r="C32" s="94">
        <v>30</v>
      </c>
      <c r="D32" s="103">
        <f t="shared" ref="D32:D34" si="5">B32*C32</f>
        <v>90</v>
      </c>
      <c r="E32" s="96"/>
    </row>
    <row r="33" spans="1:5" ht="15.75" customHeight="1">
      <c r="A33" s="63" t="s">
        <v>129</v>
      </c>
      <c r="B33" s="65">
        <v>7.96</v>
      </c>
      <c r="C33" s="98">
        <v>1</v>
      </c>
      <c r="D33" s="103">
        <f t="shared" si="5"/>
        <v>7.96</v>
      </c>
      <c r="E33" s="96"/>
    </row>
    <row r="34" spans="1:5" ht="15.75" customHeight="1">
      <c r="A34" s="63" t="s">
        <v>108</v>
      </c>
      <c r="B34" s="65">
        <v>50</v>
      </c>
      <c r="C34" s="98">
        <v>1</v>
      </c>
      <c r="D34" s="103">
        <f t="shared" si="5"/>
        <v>50</v>
      </c>
      <c r="E34" s="96"/>
    </row>
    <row r="35" spans="1:5" ht="15.75" customHeight="1">
      <c r="A35" s="57" t="s">
        <v>110</v>
      </c>
      <c r="B35" s="57"/>
      <c r="C35" s="100"/>
      <c r="D35" s="68">
        <f>SUM(D36)</f>
        <v>160</v>
      </c>
      <c r="E35" s="96"/>
    </row>
    <row r="36" spans="1:5" ht="15.75" customHeight="1">
      <c r="A36" s="63" t="s">
        <v>111</v>
      </c>
      <c r="B36" s="65">
        <v>160</v>
      </c>
      <c r="C36" s="98">
        <v>1</v>
      </c>
      <c r="D36" s="70">
        <f>B36</f>
        <v>160</v>
      </c>
      <c r="E36" s="96"/>
    </row>
    <row r="37" spans="1:5" ht="15.75" customHeight="1">
      <c r="A37" s="57" t="s">
        <v>112</v>
      </c>
      <c r="B37" s="57"/>
      <c r="C37" s="100"/>
      <c r="D37" s="68">
        <f>SUM(D38:D39)</f>
        <v>98.67</v>
      </c>
      <c r="E37" s="62">
        <f>D37/($D$27+$D$31+$D$37)*$D$40</f>
        <v>14.493332119655827</v>
      </c>
    </row>
    <row r="38" spans="1:5" ht="15.75" customHeight="1">
      <c r="A38" s="63" t="s">
        <v>113</v>
      </c>
      <c r="B38" s="65">
        <v>30</v>
      </c>
      <c r="C38" s="94">
        <v>3</v>
      </c>
      <c r="D38" s="103">
        <f t="shared" ref="D38:D39" si="6">C38*B38</f>
        <v>90</v>
      </c>
      <c r="E38" s="96"/>
    </row>
    <row r="39" spans="1:5" ht="15.75" customHeight="1">
      <c r="A39" s="63" t="s">
        <v>129</v>
      </c>
      <c r="B39" s="65">
        <v>2.89</v>
      </c>
      <c r="C39" s="98">
        <v>3</v>
      </c>
      <c r="D39" s="103">
        <f t="shared" si="6"/>
        <v>8.67</v>
      </c>
      <c r="E39" s="96"/>
    </row>
    <row r="40" spans="1:5" ht="15.75" customHeight="1">
      <c r="A40" s="57" t="s">
        <v>114</v>
      </c>
      <c r="B40" s="57"/>
      <c r="C40" s="100"/>
      <c r="D40" s="68">
        <f>SUM(D41:D44)</f>
        <v>76.650000000000006</v>
      </c>
      <c r="E40" s="96"/>
    </row>
    <row r="41" spans="1:5" ht="15.75" customHeight="1">
      <c r="A41" s="63" t="s">
        <v>115</v>
      </c>
      <c r="B41" s="65">
        <f>60*0.001</f>
        <v>0.06</v>
      </c>
      <c r="C41" s="98">
        <v>350</v>
      </c>
      <c r="D41" s="66">
        <f t="shared" ref="D41:D42" si="7">C41*B41</f>
        <v>21</v>
      </c>
      <c r="E41" s="96"/>
    </row>
    <row r="42" spans="1:5" ht="12.75">
      <c r="A42" s="63" t="s">
        <v>149</v>
      </c>
      <c r="B42" s="65">
        <v>0.06</v>
      </c>
      <c r="C42" s="98">
        <v>175</v>
      </c>
      <c r="D42" s="66">
        <f t="shared" si="7"/>
        <v>10.5</v>
      </c>
      <c r="E42" s="96"/>
    </row>
    <row r="43" spans="1:5" ht="12.75">
      <c r="A43" s="63" t="s">
        <v>117</v>
      </c>
      <c r="B43" s="65">
        <v>7.8E-2</v>
      </c>
      <c r="C43" s="98">
        <v>175</v>
      </c>
      <c r="D43" s="66">
        <f>C43*$B$19</f>
        <v>13.65</v>
      </c>
      <c r="E43" s="96"/>
    </row>
    <row r="44" spans="1:5" ht="12.75">
      <c r="A44" s="63" t="s">
        <v>118</v>
      </c>
      <c r="B44" s="115">
        <f>0.09</f>
        <v>0.09</v>
      </c>
      <c r="C44" s="98">
        <v>350</v>
      </c>
      <c r="D44" s="66">
        <f>C44*$B$20</f>
        <v>31.5</v>
      </c>
      <c r="E44" s="96"/>
    </row>
    <row r="45" spans="1:5" ht="12.75">
      <c r="A45" s="57"/>
      <c r="B45" s="57"/>
      <c r="C45" s="118"/>
      <c r="D45" s="81"/>
      <c r="E45" s="82"/>
    </row>
    <row r="46" spans="1:5">
      <c r="A46" s="290" t="s">
        <v>159</v>
      </c>
      <c r="B46" s="287"/>
      <c r="C46" s="287"/>
      <c r="D46" s="84">
        <f>D27+D31+D37+D35</f>
        <v>681.83</v>
      </c>
    </row>
    <row r="47" spans="1:5">
      <c r="A47" s="290" t="s">
        <v>120</v>
      </c>
      <c r="B47" s="287"/>
      <c r="C47" s="287"/>
      <c r="D47" s="84">
        <f>D27+D31+D37</f>
        <v>521.83000000000004</v>
      </c>
    </row>
    <row r="48" spans="1:5">
      <c r="A48" s="83"/>
      <c r="B48" s="83"/>
      <c r="C48" s="83"/>
      <c r="D48" s="84"/>
    </row>
    <row r="49" spans="1:5">
      <c r="A49" s="291" t="s">
        <v>100</v>
      </c>
      <c r="B49" s="287"/>
      <c r="C49" s="287"/>
      <c r="D49" s="287"/>
    </row>
    <row r="50" spans="1:5" ht="12.75">
      <c r="A50" s="85"/>
      <c r="B50" s="53" t="s">
        <v>101</v>
      </c>
      <c r="C50" s="86" t="s">
        <v>121</v>
      </c>
      <c r="D50" s="55" t="s">
        <v>103</v>
      </c>
      <c r="E50" s="56" t="s">
        <v>164</v>
      </c>
    </row>
    <row r="51" spans="1:5" ht="12.75">
      <c r="A51" s="57" t="s">
        <v>105</v>
      </c>
      <c r="B51" s="58"/>
      <c r="C51" s="87"/>
      <c r="D51" s="60">
        <f>SUM(D52:D54)</f>
        <v>117.8</v>
      </c>
      <c r="E51" s="62">
        <f>D51/($D$51+$D$55+$D$61)*$D$64</f>
        <v>59.920167230738606</v>
      </c>
    </row>
    <row r="52" spans="1:5" ht="12.75">
      <c r="A52" s="63" t="s">
        <v>106</v>
      </c>
      <c r="B52" s="65">
        <v>1.8</v>
      </c>
      <c r="C52" s="94">
        <v>30</v>
      </c>
      <c r="D52" s="66">
        <f t="shared" ref="D52:D54" si="8">B52*C52</f>
        <v>54</v>
      </c>
      <c r="E52" s="71"/>
    </row>
    <row r="53" spans="1:5" ht="12.75">
      <c r="A53" s="63" t="s">
        <v>107</v>
      </c>
      <c r="B53" s="65">
        <v>13.8</v>
      </c>
      <c r="C53" s="98">
        <v>1</v>
      </c>
      <c r="D53" s="66">
        <f t="shared" si="8"/>
        <v>13.8</v>
      </c>
      <c r="E53" s="71"/>
    </row>
    <row r="54" spans="1:5" ht="12.75">
      <c r="A54" s="63" t="s">
        <v>108</v>
      </c>
      <c r="B54" s="65">
        <v>50</v>
      </c>
      <c r="C54" s="98">
        <v>1</v>
      </c>
      <c r="D54" s="66">
        <f t="shared" si="8"/>
        <v>50</v>
      </c>
      <c r="E54" s="71"/>
    </row>
    <row r="55" spans="1:5" ht="12.75">
      <c r="A55" s="57" t="s">
        <v>109</v>
      </c>
      <c r="B55" s="57"/>
      <c r="C55" s="100"/>
      <c r="D55" s="68">
        <f>SUM(D56:D58)</f>
        <v>0</v>
      </c>
      <c r="E55" s="62">
        <f>D55/($D$51+$D$55+$D$61)*$D$64</f>
        <v>0</v>
      </c>
    </row>
    <row r="56" spans="1:5" ht="12.75">
      <c r="A56" s="63" t="s">
        <v>106</v>
      </c>
      <c r="B56" s="65">
        <v>3</v>
      </c>
      <c r="C56" s="94">
        <v>0</v>
      </c>
      <c r="D56" s="126">
        <f t="shared" ref="D56:D58" si="9">B56*C56</f>
        <v>0</v>
      </c>
      <c r="E56" s="71"/>
    </row>
    <row r="57" spans="1:5" ht="12.75">
      <c r="A57" s="63" t="s">
        <v>107</v>
      </c>
      <c r="B57" s="65">
        <v>7.96</v>
      </c>
      <c r="C57" s="98">
        <v>0</v>
      </c>
      <c r="D57" s="126">
        <f t="shared" si="9"/>
        <v>0</v>
      </c>
      <c r="E57" s="71"/>
    </row>
    <row r="58" spans="1:5" ht="12.75">
      <c r="A58" s="63" t="s">
        <v>108</v>
      </c>
      <c r="B58" s="65">
        <v>50</v>
      </c>
      <c r="C58" s="98">
        <v>0</v>
      </c>
      <c r="D58" s="126">
        <f t="shared" si="9"/>
        <v>0</v>
      </c>
      <c r="E58" s="71"/>
    </row>
    <row r="59" spans="1:5" ht="12.75">
      <c r="A59" s="57" t="s">
        <v>110</v>
      </c>
      <c r="B59" s="57"/>
      <c r="C59" s="57"/>
      <c r="D59" s="68">
        <f>SUM(D60)</f>
        <v>160</v>
      </c>
      <c r="E59" s="71"/>
    </row>
    <row r="60" spans="1:5" ht="12.75">
      <c r="A60" s="63" t="s">
        <v>111</v>
      </c>
      <c r="B60" s="65">
        <v>160</v>
      </c>
      <c r="C60" s="98">
        <v>1</v>
      </c>
      <c r="D60" s="70">
        <f>B60</f>
        <v>160</v>
      </c>
      <c r="E60" s="71"/>
    </row>
    <row r="61" spans="1:5" ht="12.75">
      <c r="A61" s="57" t="s">
        <v>112</v>
      </c>
      <c r="B61" s="57"/>
      <c r="C61" s="100"/>
      <c r="D61" s="68">
        <f>SUM(D62:D63)</f>
        <v>32.89</v>
      </c>
      <c r="E61" s="62">
        <f>D61/($D$51+$D$55+$D$61)*$D$64</f>
        <v>16.7298327692614</v>
      </c>
    </row>
    <row r="62" spans="1:5" ht="12.75">
      <c r="A62" s="63" t="s">
        <v>113</v>
      </c>
      <c r="B62" s="65">
        <v>30</v>
      </c>
      <c r="C62" s="94">
        <v>1</v>
      </c>
      <c r="D62" s="126">
        <f t="shared" ref="D62:D63" si="10">B62</f>
        <v>30</v>
      </c>
      <c r="E62" s="71"/>
    </row>
    <row r="63" spans="1:5" ht="12.75">
      <c r="A63" s="63" t="s">
        <v>107</v>
      </c>
      <c r="B63" s="65">
        <v>2.89</v>
      </c>
      <c r="C63" s="98">
        <f>C62</f>
        <v>1</v>
      </c>
      <c r="D63" s="126">
        <f t="shared" si="10"/>
        <v>2.89</v>
      </c>
      <c r="E63" s="71"/>
    </row>
    <row r="64" spans="1:5" ht="12.75">
      <c r="A64" s="57" t="s">
        <v>114</v>
      </c>
      <c r="B64" s="57"/>
      <c r="C64" s="100"/>
      <c r="D64" s="68">
        <f>SUM(D65:D68)</f>
        <v>76.650000000000006</v>
      </c>
      <c r="E64" s="71"/>
    </row>
    <row r="65" spans="1:5" ht="12.75">
      <c r="A65" s="63" t="s">
        <v>115</v>
      </c>
      <c r="B65" s="65">
        <f>60*0.001</f>
        <v>0.06</v>
      </c>
      <c r="C65" s="98">
        <v>350</v>
      </c>
      <c r="D65" s="66">
        <f t="shared" ref="D65:D66" si="11">C65*B65</f>
        <v>21</v>
      </c>
      <c r="E65" s="71"/>
    </row>
    <row r="66" spans="1:5" ht="12.75">
      <c r="A66" s="63" t="s">
        <v>149</v>
      </c>
      <c r="B66" s="65">
        <v>0.06</v>
      </c>
      <c r="C66" s="98">
        <v>175</v>
      </c>
      <c r="D66" s="66">
        <f t="shared" si="11"/>
        <v>10.5</v>
      </c>
      <c r="E66" s="71"/>
    </row>
    <row r="67" spans="1:5" ht="12.75">
      <c r="A67" s="63" t="s">
        <v>117</v>
      </c>
      <c r="B67" s="65">
        <v>7.8E-2</v>
      </c>
      <c r="C67" s="98">
        <v>175</v>
      </c>
      <c r="D67" s="66">
        <f>C67*$B$19</f>
        <v>13.65</v>
      </c>
      <c r="E67" s="71"/>
    </row>
    <row r="68" spans="1:5" ht="12.75">
      <c r="A68" s="63" t="s">
        <v>118</v>
      </c>
      <c r="B68" s="115">
        <f>0.09</f>
        <v>0.09</v>
      </c>
      <c r="C68" s="98">
        <v>350</v>
      </c>
      <c r="D68" s="66">
        <f>C68*$B$20</f>
        <v>31.5</v>
      </c>
      <c r="E68" s="71"/>
    </row>
    <row r="69" spans="1:5" ht="12.75">
      <c r="A69" s="57"/>
      <c r="B69" s="57"/>
      <c r="C69" s="118"/>
      <c r="D69" s="81"/>
      <c r="E69" s="140"/>
    </row>
    <row r="70" spans="1:5">
      <c r="A70" s="290" t="s">
        <v>119</v>
      </c>
      <c r="B70" s="287"/>
      <c r="C70" s="287"/>
      <c r="D70" s="84">
        <f>D51+D55+D61+D59</f>
        <v>310.69</v>
      </c>
    </row>
    <row r="71" spans="1:5">
      <c r="A71" s="290" t="s">
        <v>120</v>
      </c>
      <c r="B71" s="287"/>
      <c r="C71" s="287"/>
      <c r="D71" s="84">
        <f>D51+D55+D61</f>
        <v>150.69</v>
      </c>
    </row>
  </sheetData>
  <mergeCells count="9">
    <mergeCell ref="A1:E1"/>
    <mergeCell ref="A25:E25"/>
    <mergeCell ref="A23:C23"/>
    <mergeCell ref="A47:C47"/>
    <mergeCell ref="A70:C70"/>
    <mergeCell ref="A71:C71"/>
    <mergeCell ref="A49:D49"/>
    <mergeCell ref="A22:C22"/>
    <mergeCell ref="A46:C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71"/>
  <sheetViews>
    <sheetView topLeftCell="A19" workbookViewId="0">
      <selection activeCell="B36" sqref="B36"/>
    </sheetView>
  </sheetViews>
  <sheetFormatPr baseColWidth="10" defaultColWidth="14.42578125" defaultRowHeight="15.75" customHeight="1"/>
  <cols>
    <col min="1" max="1" width="68" customWidth="1"/>
    <col min="2" max="2" width="53.28515625" customWidth="1"/>
    <col min="3" max="3" width="69.42578125" customWidth="1"/>
    <col min="4" max="4" width="61.85546875" customWidth="1"/>
    <col min="5" max="5" width="27" customWidth="1"/>
    <col min="6" max="6" width="44.28515625" customWidth="1"/>
    <col min="7" max="7" width="49.5703125" customWidth="1"/>
    <col min="8" max="8" width="48.7109375" customWidth="1"/>
  </cols>
  <sheetData>
    <row r="1" spans="1:12" ht="18">
      <c r="A1" s="88" t="s">
        <v>122</v>
      </c>
      <c r="B1" s="89" t="s">
        <v>123</v>
      </c>
      <c r="C1" s="89" t="s">
        <v>124</v>
      </c>
    </row>
    <row r="2" spans="1:12" ht="12.75">
      <c r="B2" s="91" t="s">
        <v>125</v>
      </c>
      <c r="C2" s="91" t="s">
        <v>125</v>
      </c>
      <c r="D2" s="92" t="s">
        <v>364</v>
      </c>
    </row>
    <row r="3" spans="1:12" ht="12.75">
      <c r="A3" s="93" t="s">
        <v>126</v>
      </c>
      <c r="B3" s="95">
        <f>C45</f>
        <v>340.2</v>
      </c>
      <c r="C3" s="95">
        <f>C53</f>
        <v>272.16000000000003</v>
      </c>
      <c r="D3" s="97" t="s">
        <v>128</v>
      </c>
    </row>
    <row r="4" spans="1:12" ht="12.75">
      <c r="A4" s="93" t="s">
        <v>130</v>
      </c>
      <c r="B4" s="99">
        <f t="shared" ref="B4:B5" si="0">B63</f>
        <v>0</v>
      </c>
      <c r="C4" s="95">
        <f>B4*B47/B39</f>
        <v>0</v>
      </c>
      <c r="D4" s="97" t="s">
        <v>365</v>
      </c>
    </row>
    <row r="5" spans="1:12" ht="12.75">
      <c r="A5" s="93" t="s">
        <v>131</v>
      </c>
      <c r="B5" s="99">
        <f t="shared" si="0"/>
        <v>0</v>
      </c>
      <c r="C5" s="95">
        <f>B5*B47/B39</f>
        <v>0</v>
      </c>
      <c r="D5" s="97" t="s">
        <v>366</v>
      </c>
    </row>
    <row r="6" spans="1:12" ht="12.75">
      <c r="D6" s="97" t="s">
        <v>367</v>
      </c>
    </row>
    <row r="7" spans="1:12" ht="29.25" customHeight="1">
      <c r="A7" s="101" t="s">
        <v>132</v>
      </c>
      <c r="B7" s="102">
        <f t="shared" ref="B7:C7" si="1">SUM(B3:B6)</f>
        <v>340.2</v>
      </c>
      <c r="C7" s="102">
        <f t="shared" si="1"/>
        <v>272.16000000000003</v>
      </c>
    </row>
    <row r="8" spans="1:12" ht="12.75">
      <c r="A8" s="93" t="s">
        <v>378</v>
      </c>
      <c r="B8" s="99">
        <f>3*220</f>
        <v>660</v>
      </c>
      <c r="C8" s="95"/>
    </row>
    <row r="9" spans="1:12" ht="12.75">
      <c r="A9" s="16"/>
      <c r="B9" s="63"/>
      <c r="C9" s="63"/>
    </row>
    <row r="10" spans="1:12" ht="12.75">
      <c r="A10" s="16"/>
      <c r="B10" s="104" t="s">
        <v>133</v>
      </c>
      <c r="C10" s="105" t="s">
        <v>134</v>
      </c>
    </row>
    <row r="11" spans="1:12" ht="12.75">
      <c r="A11" s="16" t="s">
        <v>135</v>
      </c>
      <c r="B11" s="63" t="s">
        <v>136</v>
      </c>
      <c r="C11" s="11">
        <v>2.5</v>
      </c>
    </row>
    <row r="12" spans="1:12" ht="12.75">
      <c r="A12" s="106" t="s">
        <v>137</v>
      </c>
      <c r="B12" s="63" t="s">
        <v>138</v>
      </c>
      <c r="C12" s="11">
        <v>88</v>
      </c>
      <c r="D12" s="64">
        <f t="shared" ref="D12:D13" si="2">C12*PI()/180</f>
        <v>1.5358897417550099</v>
      </c>
    </row>
    <row r="13" spans="1:12" ht="12.75">
      <c r="A13" s="2" t="s">
        <v>139</v>
      </c>
      <c r="C13" s="11">
        <v>90</v>
      </c>
      <c r="D13" s="64">
        <f t="shared" si="2"/>
        <v>1.5707963267948966</v>
      </c>
    </row>
    <row r="14" spans="1:12" ht="12.75">
      <c r="B14" s="107" t="s">
        <v>140</v>
      </c>
      <c r="C14" s="108">
        <f>C11/(COS(D13-D12))</f>
        <v>2.5015238607470542</v>
      </c>
    </row>
    <row r="15" spans="1:12" ht="12.75">
      <c r="A15" s="14"/>
      <c r="B15" s="63"/>
      <c r="C15" s="64"/>
    </row>
    <row r="16" spans="1:12" ht="27" customHeight="1">
      <c r="A16" s="294" t="s">
        <v>141</v>
      </c>
      <c r="B16" s="287"/>
      <c r="C16" s="287"/>
      <c r="D16" s="287"/>
      <c r="E16" s="287"/>
      <c r="F16" s="287"/>
      <c r="G16" s="287"/>
      <c r="L16" s="2" t="s">
        <v>142</v>
      </c>
    </row>
    <row r="17" spans="1:12" ht="12.75">
      <c r="A17" s="2" t="s">
        <v>363</v>
      </c>
      <c r="L17" s="2" t="s">
        <v>143</v>
      </c>
    </row>
    <row r="18" spans="1:12" ht="12.75">
      <c r="A18" s="2"/>
      <c r="B18" s="298" t="s">
        <v>144</v>
      </c>
      <c r="C18" s="287"/>
      <c r="L18" s="2" t="s">
        <v>145</v>
      </c>
    </row>
    <row r="19" spans="1:12" ht="12.75">
      <c r="B19" s="109" t="s">
        <v>146</v>
      </c>
      <c r="C19" s="110" t="s">
        <v>96</v>
      </c>
      <c r="L19" s="2" t="s">
        <v>147</v>
      </c>
    </row>
    <row r="20" spans="1:12" ht="12.75">
      <c r="B20" s="111" t="s">
        <v>148</v>
      </c>
      <c r="C20" s="112">
        <v>0.89644999999999997</v>
      </c>
      <c r="E20" s="18"/>
      <c r="L20" s="2" t="s">
        <v>150</v>
      </c>
    </row>
    <row r="21" spans="1:12" ht="14.25">
      <c r="A21" s="295" t="s">
        <v>151</v>
      </c>
      <c r="B21" s="113" t="s">
        <v>152</v>
      </c>
      <c r="C21" s="113">
        <v>135</v>
      </c>
    </row>
    <row r="22" spans="1:12" ht="14.25">
      <c r="A22" s="287"/>
      <c r="B22" s="113" t="s">
        <v>153</v>
      </c>
      <c r="C22" s="113">
        <v>180</v>
      </c>
    </row>
    <row r="23" spans="1:12" ht="14.25">
      <c r="C23" s="114"/>
    </row>
    <row r="24" spans="1:12" ht="14.25">
      <c r="A24" s="63" t="s">
        <v>154</v>
      </c>
      <c r="B24" s="11">
        <v>2330</v>
      </c>
      <c r="C24" s="114"/>
    </row>
    <row r="25" spans="1:12" ht="14.25">
      <c r="A25" s="63" t="s">
        <v>155</v>
      </c>
      <c r="B25" s="11">
        <v>1.9000000000000001E-5</v>
      </c>
      <c r="C25" s="114"/>
    </row>
    <row r="26" spans="1:12" ht="12.75">
      <c r="A26" s="107" t="s">
        <v>156</v>
      </c>
      <c r="B26" s="116">
        <f>B24*B25</f>
        <v>4.4270000000000004E-2</v>
      </c>
    </row>
    <row r="27" spans="1:12" ht="12.75">
      <c r="A27" s="107"/>
      <c r="B27" s="117" t="s">
        <v>157</v>
      </c>
      <c r="C27" s="2"/>
    </row>
    <row r="28" spans="1:12">
      <c r="A28" s="296" t="s">
        <v>158</v>
      </c>
      <c r="B28" s="297"/>
    </row>
    <row r="29" spans="1:12" ht="15">
      <c r="A29" s="119" t="s">
        <v>160</v>
      </c>
      <c r="B29" s="119" t="s">
        <v>161</v>
      </c>
      <c r="C29" s="120" t="s">
        <v>162</v>
      </c>
      <c r="D29" s="121" t="s">
        <v>163</v>
      </c>
    </row>
    <row r="30" spans="1:12" ht="15">
      <c r="A30" s="122">
        <f>150/9</f>
        <v>16.666666666666668</v>
      </c>
      <c r="B30" s="122">
        <v>84</v>
      </c>
      <c r="C30" s="123">
        <f>B30*C22*0.001</f>
        <v>15.120000000000001</v>
      </c>
      <c r="D30" s="2"/>
    </row>
    <row r="31" spans="1:12" ht="12.75">
      <c r="A31" s="63" t="s">
        <v>165</v>
      </c>
      <c r="B31" s="64">
        <f>B26*B30</f>
        <v>3.7186800000000004</v>
      </c>
      <c r="C31" s="63" t="s">
        <v>166</v>
      </c>
      <c r="D31" s="124">
        <f>A30</f>
        <v>16.666666666666668</v>
      </c>
      <c r="E31" s="125">
        <f t="shared" ref="E31:E32" si="3">D31*PI()/180</f>
        <v>0.29088820866572163</v>
      </c>
      <c r="F31" s="2" t="s">
        <v>167</v>
      </c>
    </row>
    <row r="32" spans="1:12" ht="12.75">
      <c r="A32" s="2">
        <f>A30*PI()/180</f>
        <v>0.29088820866572163</v>
      </c>
      <c r="B32" s="2" t="s">
        <v>167</v>
      </c>
      <c r="C32" s="63" t="s">
        <v>168</v>
      </c>
      <c r="D32" s="11">
        <v>22</v>
      </c>
      <c r="E32" s="125">
        <f t="shared" si="3"/>
        <v>0.38397243543875248</v>
      </c>
      <c r="F32" s="2"/>
      <c r="H32" s="2"/>
    </row>
    <row r="33" spans="1:8" ht="12.75">
      <c r="A33" s="2">
        <f>A32*2.5</f>
        <v>0.72722052166430406</v>
      </c>
      <c r="B33" s="2" t="s">
        <v>40</v>
      </c>
      <c r="C33" s="63" t="s">
        <v>169</v>
      </c>
      <c r="E33" s="30">
        <f>D34*10000</f>
        <v>6980.8158701120728</v>
      </c>
      <c r="F33" s="2"/>
      <c r="H33" s="2"/>
    </row>
    <row r="34" spans="1:8" ht="15">
      <c r="A34" s="2">
        <f>A33*9</f>
        <v>6.5449846949787363</v>
      </c>
      <c r="B34" s="2" t="s">
        <v>40</v>
      </c>
      <c r="C34" s="128" t="s">
        <v>171</v>
      </c>
      <c r="D34" s="129">
        <f>E31*E32*C11*C11</f>
        <v>0.69808158701120726</v>
      </c>
      <c r="E34" s="130" t="s">
        <v>176</v>
      </c>
      <c r="F34" s="2"/>
      <c r="H34" s="2"/>
    </row>
    <row r="35" spans="1:8">
      <c r="A35" s="46"/>
      <c r="B35" s="132"/>
    </row>
    <row r="36" spans="1:8">
      <c r="A36" s="83" t="s">
        <v>379</v>
      </c>
      <c r="B36" s="42">
        <v>9</v>
      </c>
      <c r="C36" s="8" t="s">
        <v>177</v>
      </c>
      <c r="D36" s="2"/>
    </row>
    <row r="37" spans="1:8">
      <c r="A37" s="83" t="s">
        <v>380</v>
      </c>
      <c r="B37" s="133">
        <f>B47/A30</f>
        <v>7.1999999999999993</v>
      </c>
      <c r="C37" s="8" t="s">
        <v>177</v>
      </c>
    </row>
    <row r="38" spans="1:8">
      <c r="A38" s="46"/>
      <c r="B38" s="132"/>
    </row>
    <row r="39" spans="1:8">
      <c r="A39" s="46" t="s">
        <v>180</v>
      </c>
      <c r="B39" s="132">
        <v>150</v>
      </c>
    </row>
    <row r="40" spans="1:8" ht="15">
      <c r="A40" s="315" t="s">
        <v>368</v>
      </c>
      <c r="B40" s="287"/>
      <c r="C40" s="136" t="s">
        <v>369</v>
      </c>
      <c r="D40" s="121"/>
    </row>
    <row r="41" spans="1:8" ht="12.75">
      <c r="A41" s="119" t="s">
        <v>182</v>
      </c>
      <c r="B41" s="137">
        <v>2</v>
      </c>
      <c r="D41" s="138" t="s">
        <v>183</v>
      </c>
      <c r="E41" s="65" t="s">
        <v>185</v>
      </c>
      <c r="F41" s="65" t="s">
        <v>186</v>
      </c>
    </row>
    <row r="42" spans="1:8" ht="12.75">
      <c r="A42" s="139" t="s">
        <v>187</v>
      </c>
      <c r="B42" s="141">
        <f>B36</f>
        <v>9</v>
      </c>
      <c r="D42" s="63" t="s">
        <v>188</v>
      </c>
      <c r="E42" s="14">
        <f>B39</f>
        <v>150</v>
      </c>
      <c r="F42" s="14">
        <v>44</v>
      </c>
      <c r="H42" s="2"/>
    </row>
    <row r="43" spans="1:8" ht="16.5" customHeight="1">
      <c r="A43" s="139" t="s">
        <v>189</v>
      </c>
      <c r="B43" s="144">
        <f>B41*B42</f>
        <v>18</v>
      </c>
      <c r="D43" s="63" t="s">
        <v>191</v>
      </c>
      <c r="E43" s="146">
        <f t="shared" ref="E43:F43" si="4">E42*PI()/180</f>
        <v>2.6179938779914944</v>
      </c>
      <c r="F43" s="146">
        <f t="shared" si="4"/>
        <v>0.76794487087750496</v>
      </c>
    </row>
    <row r="44" spans="1:8" ht="12.75">
      <c r="A44" s="139" t="s">
        <v>193</v>
      </c>
      <c r="B44" s="144">
        <f>B30*B43</f>
        <v>1512</v>
      </c>
      <c r="C44" s="3">
        <f>B44*C22*0.001</f>
        <v>272.16000000000003</v>
      </c>
      <c r="D44" s="63" t="s">
        <v>194</v>
      </c>
      <c r="E44" s="29">
        <f>E43*C11</f>
        <v>6.5449846949787363</v>
      </c>
      <c r="F44" s="29">
        <f>F43*C11</f>
        <v>1.9198621771937625</v>
      </c>
    </row>
    <row r="45" spans="1:8" ht="15">
      <c r="A45" s="147" t="s">
        <v>197</v>
      </c>
      <c r="B45" s="149">
        <f>B44*0.25+B44</f>
        <v>1890</v>
      </c>
      <c r="C45" s="150">
        <f>B45*C22*0.001</f>
        <v>340.2</v>
      </c>
      <c r="D45" s="63" t="s">
        <v>201</v>
      </c>
      <c r="E45" s="151">
        <f>E43*F43</f>
        <v>2.0104749705922766</v>
      </c>
      <c r="F45" s="2"/>
    </row>
    <row r="46" spans="1:8" ht="15">
      <c r="A46" s="63"/>
      <c r="B46" s="152"/>
      <c r="D46" s="153" t="s">
        <v>203</v>
      </c>
      <c r="E46" s="154">
        <f>E43*F43*C11*C11</f>
        <v>12.56546856620173</v>
      </c>
      <c r="F46" s="155"/>
      <c r="H46" s="2"/>
    </row>
    <row r="47" spans="1:8">
      <c r="A47" s="46" t="s">
        <v>372</v>
      </c>
      <c r="B47" s="132">
        <v>120</v>
      </c>
    </row>
    <row r="48" spans="1:8" ht="15">
      <c r="A48" s="315" t="s">
        <v>371</v>
      </c>
      <c r="B48" s="287"/>
      <c r="C48" s="136" t="s">
        <v>370</v>
      </c>
    </row>
    <row r="49" spans="1:8" ht="12.75">
      <c r="A49" s="119" t="s">
        <v>182</v>
      </c>
      <c r="B49" s="137">
        <v>2</v>
      </c>
      <c r="D49" s="138" t="s">
        <v>183</v>
      </c>
      <c r="E49" s="65" t="s">
        <v>185</v>
      </c>
      <c r="F49" s="65" t="s">
        <v>204</v>
      </c>
    </row>
    <row r="50" spans="1:8" ht="12.75">
      <c r="A50" s="139" t="s">
        <v>205</v>
      </c>
      <c r="B50" s="157">
        <f>B37</f>
        <v>7.1999999999999993</v>
      </c>
      <c r="D50" s="63" t="s">
        <v>188</v>
      </c>
      <c r="E50" s="14">
        <v>120</v>
      </c>
      <c r="F50" s="14">
        <v>44</v>
      </c>
      <c r="H50" s="2"/>
    </row>
    <row r="51" spans="1:8" ht="12.75">
      <c r="A51" s="139" t="s">
        <v>189</v>
      </c>
      <c r="B51" s="158">
        <f>B49*B50</f>
        <v>14.399999999999999</v>
      </c>
      <c r="D51" s="63" t="s">
        <v>191</v>
      </c>
      <c r="E51" s="161">
        <f t="shared" ref="E51:F51" si="5">E50*PI()/180</f>
        <v>2.0943951023931953</v>
      </c>
      <c r="F51" s="161">
        <f t="shared" si="5"/>
        <v>0.76794487087750496</v>
      </c>
    </row>
    <row r="52" spans="1:8" ht="12.75">
      <c r="A52" s="139" t="s">
        <v>193</v>
      </c>
      <c r="B52" s="158">
        <f>B30*B51</f>
        <v>1209.5999999999999</v>
      </c>
      <c r="C52" s="3">
        <f>B52*C22*0.001</f>
        <v>217.72799999999998</v>
      </c>
      <c r="D52" s="63" t="s">
        <v>194</v>
      </c>
      <c r="E52" s="29">
        <f>E51*C11</f>
        <v>5.2359877559829879</v>
      </c>
      <c r="F52" s="29">
        <f>F51*C11</f>
        <v>1.9198621771937625</v>
      </c>
      <c r="H52" s="2"/>
    </row>
    <row r="53" spans="1:8" ht="15">
      <c r="A53" s="147" t="s">
        <v>197</v>
      </c>
      <c r="B53" s="165">
        <f>B52*0.25+B52</f>
        <v>1512</v>
      </c>
      <c r="C53" s="150">
        <f>B53*C22*0.001</f>
        <v>272.16000000000003</v>
      </c>
      <c r="F53" s="146"/>
    </row>
    <row r="54" spans="1:8" ht="15">
      <c r="D54" s="153" t="s">
        <v>214</v>
      </c>
      <c r="E54" s="154">
        <f>E51*F51*C11*C11</f>
        <v>10.052374852961382</v>
      </c>
    </row>
    <row r="56" spans="1:8" ht="27" customHeight="1">
      <c r="A56" s="293" t="s">
        <v>237</v>
      </c>
      <c r="B56" s="287"/>
      <c r="C56" s="287"/>
      <c r="D56" s="287"/>
      <c r="E56" s="287"/>
      <c r="F56" s="287"/>
      <c r="G56" s="287"/>
    </row>
    <row r="57" spans="1:8" ht="12.75">
      <c r="F57" s="2"/>
    </row>
    <row r="58" spans="1:8" ht="12.75">
      <c r="C58" s="63"/>
      <c r="D58" s="11"/>
      <c r="F58" s="2"/>
    </row>
    <row r="59" spans="1:8" ht="12.75">
      <c r="C59" s="63"/>
      <c r="D59" s="193"/>
    </row>
    <row r="60" spans="1:8" ht="12.75">
      <c r="C60" s="63"/>
    </row>
    <row r="61" spans="1:8" ht="15">
      <c r="A61" s="201" t="s">
        <v>377</v>
      </c>
      <c r="B61" s="203"/>
      <c r="C61" s="63"/>
      <c r="D61" s="201"/>
      <c r="E61" s="203"/>
    </row>
    <row r="62" spans="1:8" ht="12.75">
      <c r="A62" s="204" t="s">
        <v>253</v>
      </c>
      <c r="B62" s="2"/>
      <c r="C62" s="63"/>
      <c r="D62" s="204"/>
      <c r="E62" s="206"/>
      <c r="F62" s="2"/>
    </row>
    <row r="63" spans="1:8" ht="12.75">
      <c r="A63" s="208" t="s">
        <v>373</v>
      </c>
      <c r="B63" s="10"/>
      <c r="C63" s="63"/>
      <c r="D63" s="208"/>
      <c r="E63" s="210"/>
      <c r="F63" s="53"/>
    </row>
    <row r="64" spans="1:8" ht="12.75">
      <c r="A64" s="204" t="s">
        <v>374</v>
      </c>
      <c r="B64" s="10"/>
      <c r="D64" s="208"/>
    </row>
    <row r="65" spans="1:25" ht="12.75">
      <c r="A65" s="204" t="s">
        <v>375</v>
      </c>
      <c r="B65" s="10"/>
      <c r="D65" s="204"/>
    </row>
    <row r="66" spans="1:25" ht="12.75">
      <c r="A66" s="204" t="s">
        <v>376</v>
      </c>
      <c r="B66" s="10"/>
      <c r="D66" s="208"/>
      <c r="E66" s="2"/>
    </row>
    <row r="67" spans="1:25" ht="12.75">
      <c r="D67" s="208"/>
    </row>
    <row r="68" spans="1:25" ht="12.75">
      <c r="C68" s="63"/>
      <c r="D68" s="204"/>
      <c r="E68" s="3"/>
    </row>
    <row r="69" spans="1:25" ht="12.75">
      <c r="C69" s="63" t="s">
        <v>260</v>
      </c>
      <c r="D69" s="2"/>
      <c r="F69" s="2"/>
    </row>
    <row r="70" spans="1:25" ht="12.75">
      <c r="A70" s="204"/>
      <c r="B70" s="8"/>
      <c r="C70" s="63"/>
      <c r="E70" s="169"/>
      <c r="F70" s="169"/>
      <c r="G70" s="169"/>
    </row>
    <row r="71" spans="1:25" ht="12.75">
      <c r="A71" s="45"/>
      <c r="B71" s="213"/>
      <c r="C71" s="138" t="s">
        <v>263</v>
      </c>
      <c r="D71" s="215"/>
      <c r="E71" s="138"/>
      <c r="F71" s="65"/>
      <c r="G71" s="1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  <c r="R71" s="215"/>
      <c r="S71" s="215"/>
      <c r="T71" s="215"/>
      <c r="U71" s="215"/>
      <c r="V71" s="215"/>
      <c r="W71" s="215"/>
      <c r="X71" s="215"/>
      <c r="Y71" s="215"/>
    </row>
  </sheetData>
  <mergeCells count="7">
    <mergeCell ref="A16:G16"/>
    <mergeCell ref="B18:C18"/>
    <mergeCell ref="A48:B48"/>
    <mergeCell ref="A40:B40"/>
    <mergeCell ref="A21:A22"/>
    <mergeCell ref="A28:B28"/>
    <mergeCell ref="A56:G56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J42"/>
  <sheetViews>
    <sheetView workbookViewId="0">
      <selection activeCell="C25" sqref="C25"/>
    </sheetView>
  </sheetViews>
  <sheetFormatPr baseColWidth="10" defaultColWidth="14.42578125" defaultRowHeight="15.75" customHeight="1"/>
  <cols>
    <col min="1" max="1" width="25" customWidth="1"/>
    <col min="2" max="2" width="8.5703125" customWidth="1"/>
    <col min="3" max="3" width="60.7109375" customWidth="1"/>
    <col min="4" max="4" width="13.85546875" customWidth="1"/>
    <col min="5" max="5" width="15.5703125" customWidth="1"/>
    <col min="6" max="6" width="15.85546875" customWidth="1"/>
    <col min="7" max="7" width="35.7109375" customWidth="1"/>
    <col min="8" max="8" width="29.5703125" customWidth="1"/>
    <col min="9" max="9" width="32.140625" customWidth="1"/>
    <col min="10" max="10" width="33.42578125" customWidth="1"/>
    <col min="11" max="11" width="22.7109375" customWidth="1"/>
    <col min="12" max="12" width="22.85546875" customWidth="1"/>
    <col min="13" max="13" width="16" customWidth="1"/>
    <col min="14" max="14" width="26.42578125" customWidth="1"/>
    <col min="15" max="15" width="24.42578125" customWidth="1"/>
  </cols>
  <sheetData>
    <row r="3" spans="1:10" ht="21" customHeight="1">
      <c r="A3" s="2"/>
      <c r="B3" s="127" t="s">
        <v>170</v>
      </c>
      <c r="C3" s="127" t="s">
        <v>172</v>
      </c>
      <c r="D3" s="127" t="s">
        <v>173</v>
      </c>
      <c r="E3" s="127" t="s">
        <v>174</v>
      </c>
      <c r="G3" s="316" t="s">
        <v>381</v>
      </c>
      <c r="H3" s="304" t="s">
        <v>175</v>
      </c>
    </row>
    <row r="4" spans="1:10" ht="12.75">
      <c r="A4" s="2"/>
      <c r="B4" s="301" t="s">
        <v>178</v>
      </c>
      <c r="C4" s="134" t="s">
        <v>179</v>
      </c>
      <c r="D4" s="135">
        <v>7</v>
      </c>
      <c r="E4" s="299" t="s">
        <v>181</v>
      </c>
      <c r="G4" s="303"/>
      <c r="H4" s="305"/>
      <c r="J4" s="317" t="s">
        <v>184</v>
      </c>
    </row>
    <row r="5" spans="1:10" ht="23.25">
      <c r="A5" s="2"/>
      <c r="B5" s="302"/>
      <c r="C5" s="142" t="s">
        <v>190</v>
      </c>
      <c r="D5" s="143">
        <v>7.01</v>
      </c>
      <c r="E5" s="287"/>
      <c r="G5" s="145"/>
      <c r="H5" s="148">
        <f>F39</f>
        <v>1185.4500000000003</v>
      </c>
      <c r="I5" s="138" t="s">
        <v>192</v>
      </c>
      <c r="J5" s="318">
        <f>SUM(F21:F23)</f>
        <v>682.55</v>
      </c>
    </row>
    <row r="6" spans="1:10" ht="12.75">
      <c r="A6" s="2"/>
      <c r="B6" s="301" t="s">
        <v>195</v>
      </c>
      <c r="C6" s="134" t="s">
        <v>196</v>
      </c>
      <c r="D6" s="135">
        <v>7.5</v>
      </c>
      <c r="E6" s="287"/>
      <c r="I6" s="138" t="s">
        <v>199</v>
      </c>
      <c r="J6" s="318">
        <f>SUM(F24:F25)</f>
        <v>199</v>
      </c>
    </row>
    <row r="7" spans="1:10" ht="12.75">
      <c r="A7" s="2"/>
      <c r="B7" s="302"/>
      <c r="C7" s="142" t="s">
        <v>200</v>
      </c>
      <c r="D7" s="143">
        <v>7.51</v>
      </c>
      <c r="E7" s="287"/>
      <c r="I7" s="138" t="s">
        <v>202</v>
      </c>
      <c r="J7" s="318">
        <f>F31</f>
        <v>8</v>
      </c>
    </row>
    <row r="8" spans="1:10" ht="12.75">
      <c r="A8" s="2"/>
      <c r="B8" s="301" t="s">
        <v>206</v>
      </c>
      <c r="C8" s="134" t="s">
        <v>207</v>
      </c>
      <c r="D8" s="135">
        <v>22.5</v>
      </c>
      <c r="E8" s="287"/>
      <c r="G8" s="3"/>
      <c r="I8" s="138" t="s">
        <v>208</v>
      </c>
      <c r="J8" s="318">
        <f>F32</f>
        <v>10</v>
      </c>
    </row>
    <row r="9" spans="1:10" ht="12.75">
      <c r="A9" s="2"/>
      <c r="B9" s="307"/>
      <c r="C9" s="159" t="s">
        <v>209</v>
      </c>
      <c r="D9" s="160">
        <v>56.25</v>
      </c>
      <c r="E9" s="300" t="s">
        <v>210</v>
      </c>
      <c r="G9" s="3"/>
      <c r="I9" s="138" t="s">
        <v>211</v>
      </c>
      <c r="J9" s="318">
        <f>F28</f>
        <v>113.39999999999999</v>
      </c>
    </row>
    <row r="10" spans="1:10" ht="12.75">
      <c r="A10" s="2"/>
      <c r="B10" s="302"/>
      <c r="C10" s="162" t="s">
        <v>212</v>
      </c>
      <c r="D10" s="163">
        <v>80.5</v>
      </c>
      <c r="E10" s="287"/>
      <c r="G10" s="3"/>
      <c r="I10" s="164" t="s">
        <v>213</v>
      </c>
      <c r="J10" s="318">
        <f>+F26</f>
        <v>48.599999999999994</v>
      </c>
    </row>
    <row r="11" spans="1:10" ht="12.75">
      <c r="A11" s="16"/>
      <c r="C11" s="2"/>
      <c r="G11" s="3"/>
      <c r="I11" s="138" t="s">
        <v>215</v>
      </c>
      <c r="J11" s="318">
        <f>F27</f>
        <v>6.9</v>
      </c>
    </row>
    <row r="12" spans="1:10" ht="12.75">
      <c r="A12" s="16"/>
      <c r="C12" s="2"/>
      <c r="G12" s="3"/>
      <c r="I12" s="164" t="s">
        <v>216</v>
      </c>
      <c r="J12" s="318">
        <f>F29</f>
        <v>18</v>
      </c>
    </row>
    <row r="13" spans="1:10" ht="12.75">
      <c r="A13" s="16"/>
      <c r="C13" s="2"/>
      <c r="G13" s="3"/>
      <c r="I13" s="164" t="s">
        <v>218</v>
      </c>
      <c r="J13" s="318">
        <f>F30</f>
        <v>14.3</v>
      </c>
    </row>
    <row r="14" spans="1:10" ht="12.75">
      <c r="A14" s="16"/>
      <c r="C14" s="2"/>
      <c r="G14" s="3"/>
      <c r="I14" s="138" t="s">
        <v>220</v>
      </c>
      <c r="J14" s="318">
        <f>F36</f>
        <v>29.92</v>
      </c>
    </row>
    <row r="15" spans="1:10" ht="12.75">
      <c r="A15" s="16"/>
      <c r="C15" s="2"/>
      <c r="G15" s="3"/>
      <c r="I15" s="138" t="s">
        <v>224</v>
      </c>
      <c r="J15" s="318">
        <f>F37</f>
        <v>35.64</v>
      </c>
    </row>
    <row r="16" spans="1:10" ht="12.75">
      <c r="A16" s="16"/>
      <c r="C16" s="2"/>
      <c r="G16" s="3"/>
      <c r="I16" s="138" t="s">
        <v>225</v>
      </c>
      <c r="J16" s="318">
        <f>F38</f>
        <v>19.14</v>
      </c>
    </row>
    <row r="17" spans="1:10" ht="12.75">
      <c r="A17" s="16"/>
      <c r="C17" s="2"/>
      <c r="G17" s="3"/>
      <c r="I17" s="172" t="s">
        <v>226</v>
      </c>
      <c r="J17" s="79">
        <f>SUM(J5:J16)</f>
        <v>1185.4500000000003</v>
      </c>
    </row>
    <row r="18" spans="1:10" ht="12.75">
      <c r="A18" s="45"/>
      <c r="F18" s="2"/>
    </row>
    <row r="19" spans="1:10" ht="18">
      <c r="A19" s="178" t="s">
        <v>384</v>
      </c>
      <c r="B19" s="178"/>
      <c r="C19" s="178"/>
      <c r="D19" s="178"/>
      <c r="E19" s="178"/>
      <c r="F19" s="178"/>
      <c r="G19" s="178"/>
      <c r="H19" s="178"/>
    </row>
    <row r="20" spans="1:10" ht="12.75">
      <c r="B20" s="131" t="s">
        <v>14</v>
      </c>
      <c r="C20" s="239"/>
      <c r="D20" s="131" t="s">
        <v>232</v>
      </c>
      <c r="E20" s="131" t="s">
        <v>316</v>
      </c>
      <c r="F20" s="131" t="s">
        <v>317</v>
      </c>
    </row>
    <row r="21" spans="1:10" ht="12.75">
      <c r="A21" s="2" t="s">
        <v>318</v>
      </c>
      <c r="B21" s="241">
        <v>1</v>
      </c>
      <c r="C21" s="243" t="s">
        <v>319</v>
      </c>
      <c r="D21" s="244">
        <f>3+0.1</f>
        <v>3.1</v>
      </c>
      <c r="E21" s="244">
        <v>71.5</v>
      </c>
      <c r="F21" s="246">
        <f>+E21*D21</f>
        <v>221.65</v>
      </c>
      <c r="G21" s="45" t="s">
        <v>320</v>
      </c>
    </row>
    <row r="22" spans="1:10" ht="12.75">
      <c r="A22" s="2" t="s">
        <v>321</v>
      </c>
      <c r="B22" s="241">
        <v>3</v>
      </c>
      <c r="C22" s="284" t="s">
        <v>357</v>
      </c>
      <c r="D22" s="244">
        <f t="shared" ref="D22:D23" si="0">1+0.1</f>
        <v>1.1000000000000001</v>
      </c>
      <c r="E22" s="244">
        <v>139</v>
      </c>
      <c r="F22" s="246">
        <f t="shared" ref="F22:F24" si="1">D22*E22</f>
        <v>152.9</v>
      </c>
      <c r="G22" s="45" t="s">
        <v>324</v>
      </c>
    </row>
    <row r="23" spans="1:10" ht="12.75">
      <c r="A23" s="2" t="s">
        <v>321</v>
      </c>
      <c r="B23" s="243">
        <v>9</v>
      </c>
      <c r="C23" s="284" t="s">
        <v>358</v>
      </c>
      <c r="D23" s="244">
        <f t="shared" si="0"/>
        <v>1.1000000000000001</v>
      </c>
      <c r="E23" s="244">
        <v>280</v>
      </c>
      <c r="F23" s="246">
        <f t="shared" si="1"/>
        <v>308</v>
      </c>
      <c r="G23" s="45" t="s">
        <v>324</v>
      </c>
    </row>
    <row r="24" spans="1:10" ht="12.75">
      <c r="B24" s="61">
        <v>14</v>
      </c>
      <c r="C24" s="285" t="s">
        <v>359</v>
      </c>
      <c r="D24" s="253">
        <v>3</v>
      </c>
      <c r="E24" s="180">
        <v>33</v>
      </c>
      <c r="F24" s="256">
        <f t="shared" si="1"/>
        <v>99</v>
      </c>
      <c r="G24" s="257" t="s">
        <v>328</v>
      </c>
    </row>
    <row r="25" spans="1:10" ht="12.75">
      <c r="B25" s="61">
        <v>15</v>
      </c>
      <c r="C25" s="249" t="s">
        <v>360</v>
      </c>
      <c r="D25" s="253">
        <v>2</v>
      </c>
      <c r="E25" s="180">
        <v>50</v>
      </c>
      <c r="F25" s="256">
        <f>E25*D25</f>
        <v>100</v>
      </c>
      <c r="G25" s="257" t="s">
        <v>328</v>
      </c>
    </row>
    <row r="26" spans="1:10" ht="12.75">
      <c r="B26" s="258">
        <v>21</v>
      </c>
      <c r="C26" s="260" t="s">
        <v>329</v>
      </c>
      <c r="D26" s="262">
        <v>3</v>
      </c>
      <c r="E26" s="264">
        <v>16.2</v>
      </c>
      <c r="F26" s="265">
        <f>D26*E26</f>
        <v>48.599999999999994</v>
      </c>
      <c r="G26" s="257" t="s">
        <v>331</v>
      </c>
      <c r="J26" s="2" t="s">
        <v>332</v>
      </c>
    </row>
    <row r="27" spans="1:10" ht="12.75">
      <c r="B27" s="258">
        <v>22</v>
      </c>
      <c r="C27" s="258" t="s">
        <v>333</v>
      </c>
      <c r="D27" s="264">
        <v>1</v>
      </c>
      <c r="E27" s="264">
        <v>6.9</v>
      </c>
      <c r="F27" s="265">
        <f>E27*D27</f>
        <v>6.9</v>
      </c>
      <c r="G27" s="45" t="s">
        <v>334</v>
      </c>
    </row>
    <row r="28" spans="1:10" ht="12.75">
      <c r="B28" s="258">
        <v>23</v>
      </c>
      <c r="C28" s="260" t="s">
        <v>335</v>
      </c>
      <c r="D28" s="262">
        <f>7-7*0.1</f>
        <v>6.3</v>
      </c>
      <c r="E28" s="264">
        <v>18</v>
      </c>
      <c r="F28" s="265">
        <f>D28*E28</f>
        <v>113.39999999999999</v>
      </c>
      <c r="G28" s="45" t="s">
        <v>338</v>
      </c>
    </row>
    <row r="29" spans="1:10" ht="12.75">
      <c r="B29" s="258">
        <v>24</v>
      </c>
      <c r="C29" s="258" t="s">
        <v>339</v>
      </c>
      <c r="D29" s="264">
        <v>2</v>
      </c>
      <c r="E29" s="264">
        <v>9</v>
      </c>
      <c r="F29" s="265">
        <f>E29*D29</f>
        <v>18</v>
      </c>
      <c r="G29" s="45" t="s">
        <v>340</v>
      </c>
    </row>
    <row r="30" spans="1:10" ht="12.75">
      <c r="B30" s="258">
        <v>25</v>
      </c>
      <c r="C30" s="260" t="s">
        <v>341</v>
      </c>
      <c r="D30" s="262">
        <f>1+6*0.2</f>
        <v>2.2000000000000002</v>
      </c>
      <c r="E30" s="264">
        <v>6.5</v>
      </c>
      <c r="F30" s="228">
        <f t="shared" ref="F30:F31" si="2">D30*E30</f>
        <v>14.3</v>
      </c>
      <c r="G30" s="45" t="s">
        <v>342</v>
      </c>
      <c r="H30" s="2"/>
    </row>
    <row r="31" spans="1:10" ht="12.75">
      <c r="A31" s="274"/>
      <c r="B31" s="275">
        <v>26</v>
      </c>
      <c r="C31" s="275" t="s">
        <v>343</v>
      </c>
      <c r="D31" s="277">
        <f>1+4*0.15</f>
        <v>1.6</v>
      </c>
      <c r="E31" s="277">
        <v>5</v>
      </c>
      <c r="F31" s="278">
        <f t="shared" si="2"/>
        <v>8</v>
      </c>
      <c r="G31" s="257" t="s">
        <v>344</v>
      </c>
      <c r="H31" s="274"/>
      <c r="I31" s="274"/>
    </row>
    <row r="32" spans="1:10" ht="12.75">
      <c r="A32" s="274"/>
      <c r="B32" s="275">
        <v>27</v>
      </c>
      <c r="C32" s="275" t="s">
        <v>345</v>
      </c>
      <c r="D32" s="277">
        <v>1</v>
      </c>
      <c r="E32" s="277">
        <v>10</v>
      </c>
      <c r="F32" s="279">
        <f>E32*D32</f>
        <v>10</v>
      </c>
      <c r="G32" s="257" t="s">
        <v>346</v>
      </c>
      <c r="H32" s="274"/>
      <c r="I32" s="274"/>
      <c r="J32" s="2" t="s">
        <v>347</v>
      </c>
    </row>
    <row r="33" spans="1:10" ht="12.75">
      <c r="B33" s="280">
        <v>28</v>
      </c>
      <c r="C33" s="280" t="s">
        <v>348</v>
      </c>
      <c r="D33" s="281">
        <v>1</v>
      </c>
      <c r="E33" s="281">
        <v>0</v>
      </c>
      <c r="F33" s="282">
        <f t="shared" ref="F33:F35" si="3">E33</f>
        <v>0</v>
      </c>
      <c r="G33" s="45" t="s">
        <v>349</v>
      </c>
    </row>
    <row r="34" spans="1:10" ht="12.75">
      <c r="B34" s="280">
        <v>29</v>
      </c>
      <c r="C34" s="280" t="s">
        <v>350</v>
      </c>
      <c r="D34" s="281">
        <v>1</v>
      </c>
      <c r="E34" s="281">
        <v>0</v>
      </c>
      <c r="F34" s="282">
        <f t="shared" si="3"/>
        <v>0</v>
      </c>
      <c r="G34" s="45" t="s">
        <v>349</v>
      </c>
    </row>
    <row r="35" spans="1:10" ht="12.75">
      <c r="B35" s="280">
        <v>30</v>
      </c>
      <c r="C35" s="280" t="s">
        <v>351</v>
      </c>
      <c r="D35" s="281">
        <v>1</v>
      </c>
      <c r="E35" s="281">
        <v>0</v>
      </c>
      <c r="F35" s="282">
        <f t="shared" si="3"/>
        <v>0</v>
      </c>
      <c r="G35" s="45" t="s">
        <v>349</v>
      </c>
    </row>
    <row r="36" spans="1:10" ht="12.75">
      <c r="A36" s="17"/>
      <c r="B36" s="275">
        <v>31</v>
      </c>
      <c r="C36" s="275" t="s">
        <v>352</v>
      </c>
      <c r="D36" s="277">
        <f t="shared" ref="D36:D38" si="4">1+4*0.3</f>
        <v>2.2000000000000002</v>
      </c>
      <c r="E36" s="277">
        <v>13.6</v>
      </c>
      <c r="F36" s="279">
        <f>+D36*E36</f>
        <v>29.92</v>
      </c>
      <c r="G36" s="257" t="s">
        <v>353</v>
      </c>
      <c r="H36" s="17"/>
      <c r="I36" s="17"/>
      <c r="J36" s="17"/>
    </row>
    <row r="37" spans="1:10" ht="12.75">
      <c r="A37" s="17"/>
      <c r="B37" s="275">
        <v>32</v>
      </c>
      <c r="C37" s="275" t="s">
        <v>354</v>
      </c>
      <c r="D37" s="277">
        <f t="shared" si="4"/>
        <v>2.2000000000000002</v>
      </c>
      <c r="E37" s="277">
        <v>16.2</v>
      </c>
      <c r="F37" s="279">
        <f t="shared" ref="F37:F38" si="5">D37*E37</f>
        <v>35.64</v>
      </c>
      <c r="G37" s="257" t="s">
        <v>353</v>
      </c>
      <c r="H37" s="17"/>
      <c r="I37" s="17"/>
      <c r="J37" s="17"/>
    </row>
    <row r="38" spans="1:10" ht="12.75">
      <c r="A38" s="17"/>
      <c r="B38" s="275">
        <v>33</v>
      </c>
      <c r="C38" s="275" t="s">
        <v>355</v>
      </c>
      <c r="D38" s="277">
        <f t="shared" si="4"/>
        <v>2.2000000000000002</v>
      </c>
      <c r="E38" s="277">
        <v>8.6999999999999993</v>
      </c>
      <c r="F38" s="279">
        <f t="shared" si="5"/>
        <v>19.14</v>
      </c>
      <c r="G38" s="257" t="s">
        <v>353</v>
      </c>
      <c r="H38" s="17"/>
      <c r="I38" s="17"/>
      <c r="J38" s="17"/>
    </row>
    <row r="39" spans="1:10">
      <c r="B39" s="308" t="s">
        <v>356</v>
      </c>
      <c r="C39" s="292"/>
      <c r="D39" s="292"/>
      <c r="E39" s="292"/>
      <c r="F39" s="283">
        <f>SUM(F21:F38)</f>
        <v>1185.4500000000003</v>
      </c>
    </row>
    <row r="41" spans="1:10" ht="12.75">
      <c r="E41" s="2" t="s">
        <v>361</v>
      </c>
      <c r="F41">
        <f>SUM(F36:F38)</f>
        <v>84.7</v>
      </c>
    </row>
    <row r="42" spans="1:10" ht="12.75">
      <c r="E42" s="2" t="s">
        <v>362</v>
      </c>
      <c r="F42">
        <f>SUM(F21:F32)</f>
        <v>1100.75</v>
      </c>
    </row>
  </sheetData>
  <mergeCells count="8">
    <mergeCell ref="B39:E39"/>
    <mergeCell ref="H3:H4"/>
    <mergeCell ref="B8:B10"/>
    <mergeCell ref="E4:E8"/>
    <mergeCell ref="E9:E10"/>
    <mergeCell ref="B6:B7"/>
    <mergeCell ref="B4:B5"/>
    <mergeCell ref="G3:G4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32"/>
  <sheetViews>
    <sheetView workbookViewId="0">
      <selection activeCell="D61" sqref="D61"/>
    </sheetView>
  </sheetViews>
  <sheetFormatPr baseColWidth="10" defaultColWidth="14.42578125" defaultRowHeight="15.75" customHeight="1"/>
  <cols>
    <col min="2" max="2" width="30.5703125" customWidth="1"/>
    <col min="3" max="3" width="51" customWidth="1"/>
    <col min="7" max="7" width="67.28515625" customWidth="1"/>
  </cols>
  <sheetData>
    <row r="1" spans="1:7" ht="12.75">
      <c r="A1" s="2"/>
      <c r="B1" s="2"/>
      <c r="C1" s="2"/>
      <c r="E1" s="166" t="s">
        <v>217</v>
      </c>
      <c r="F1" s="166" t="s">
        <v>219</v>
      </c>
      <c r="G1" s="2"/>
    </row>
    <row r="2" spans="1:7" ht="12.75">
      <c r="A2" s="289"/>
      <c r="B2" s="287"/>
      <c r="C2" s="287"/>
      <c r="E2" s="167" t="s">
        <v>2</v>
      </c>
      <c r="F2" s="167" t="s">
        <v>2</v>
      </c>
      <c r="G2" s="2" t="s">
        <v>221</v>
      </c>
    </row>
    <row r="3" spans="1:7" ht="12.75">
      <c r="B3" s="168" t="s">
        <v>222</v>
      </c>
      <c r="C3" s="170" t="s">
        <v>223</v>
      </c>
      <c r="D3" s="171">
        <f t="shared" ref="D3:D4" si="0">SUM(E3:F3)</f>
        <v>611.5</v>
      </c>
      <c r="E3" s="173">
        <f>SUM(E10:E13,E15,E21)</f>
        <v>431.5</v>
      </c>
      <c r="F3" s="174">
        <f>SUM(F20:F21)</f>
        <v>180</v>
      </c>
    </row>
    <row r="4" spans="1:7" ht="12.75">
      <c r="B4" s="19"/>
      <c r="C4" s="170" t="s">
        <v>227</v>
      </c>
      <c r="D4" s="176">
        <f t="shared" si="0"/>
        <v>1108</v>
      </c>
      <c r="E4" s="177">
        <f>SUM(E3,E21,E23,E25)</f>
        <v>808</v>
      </c>
      <c r="F4" s="177">
        <f>SUM(F26)</f>
        <v>300</v>
      </c>
    </row>
    <row r="5" spans="1:7" ht="12.75">
      <c r="B5" s="19"/>
      <c r="C5" s="181"/>
      <c r="D5" s="25"/>
      <c r="E5" s="182"/>
      <c r="F5" s="183"/>
    </row>
    <row r="6" spans="1:7" ht="12.75">
      <c r="B6" s="19"/>
      <c r="C6" s="181"/>
      <c r="D6" s="25"/>
      <c r="E6" s="182"/>
      <c r="F6" s="183"/>
    </row>
    <row r="7" spans="1:7" ht="12.75">
      <c r="B7" s="168" t="s">
        <v>228</v>
      </c>
      <c r="C7" s="170" t="s">
        <v>223</v>
      </c>
      <c r="D7" s="171">
        <f t="shared" ref="D7:D8" si="1">SUM(E7:F7)</f>
        <v>451.6</v>
      </c>
      <c r="E7" s="173">
        <f>SUM(E29:E43)</f>
        <v>356.6</v>
      </c>
      <c r="F7" s="174">
        <f t="shared" ref="F7:F8" si="2">F55</f>
        <v>95</v>
      </c>
    </row>
    <row r="8" spans="1:7" ht="12.75">
      <c r="C8" s="170" t="s">
        <v>227</v>
      </c>
      <c r="D8" s="176">
        <f t="shared" si="1"/>
        <v>701.6</v>
      </c>
      <c r="E8" s="177">
        <f>SUM(E44:E55)</f>
        <v>506.6</v>
      </c>
      <c r="F8" s="177">
        <f t="shared" si="2"/>
        <v>195</v>
      </c>
    </row>
    <row r="9" spans="1:7" ht="12.75">
      <c r="C9" s="184"/>
      <c r="E9" s="185"/>
      <c r="F9" s="185"/>
      <c r="G9" s="168" t="s">
        <v>222</v>
      </c>
    </row>
    <row r="10" spans="1:7" ht="12.75">
      <c r="B10" s="33" t="s">
        <v>230</v>
      </c>
      <c r="C10" s="186" t="s">
        <v>231</v>
      </c>
      <c r="D10" s="15"/>
      <c r="E10" s="177">
        <v>50</v>
      </c>
      <c r="F10" s="177"/>
      <c r="G10" s="15"/>
    </row>
    <row r="11" spans="1:7" ht="15">
      <c r="A11" s="187"/>
      <c r="B11" s="187"/>
      <c r="C11" s="188" t="s">
        <v>233</v>
      </c>
      <c r="D11" s="15"/>
      <c r="E11" s="177">
        <v>80</v>
      </c>
      <c r="F11" s="177"/>
      <c r="G11" s="15"/>
    </row>
    <row r="12" spans="1:7" ht="15">
      <c r="A12" s="187"/>
      <c r="B12" s="187"/>
      <c r="C12" s="188" t="s">
        <v>234</v>
      </c>
      <c r="D12" s="15"/>
      <c r="E12" s="177">
        <v>75</v>
      </c>
      <c r="F12" s="177"/>
      <c r="G12" s="15"/>
    </row>
    <row r="13" spans="1:7" ht="15">
      <c r="A13" s="187"/>
      <c r="B13" s="187"/>
      <c r="C13" s="188" t="s">
        <v>235</v>
      </c>
      <c r="D13" s="15"/>
      <c r="E13" s="177">
        <v>100</v>
      </c>
      <c r="F13" s="177"/>
      <c r="G13" s="15"/>
    </row>
    <row r="14" spans="1:7" ht="15">
      <c r="A14" s="187"/>
      <c r="B14" s="187"/>
      <c r="C14" s="189" t="s">
        <v>236</v>
      </c>
      <c r="D14" s="15"/>
      <c r="E14" s="177">
        <v>200</v>
      </c>
      <c r="F14" s="177"/>
      <c r="G14" s="15"/>
    </row>
    <row r="15" spans="1:7" ht="15">
      <c r="A15" s="187"/>
      <c r="B15" s="187"/>
      <c r="C15" s="189" t="s">
        <v>238</v>
      </c>
      <c r="D15" s="15"/>
      <c r="E15" s="177">
        <v>50</v>
      </c>
      <c r="F15" s="177"/>
      <c r="G15" s="15"/>
    </row>
    <row r="16" spans="1:7" ht="15">
      <c r="A16" s="187"/>
      <c r="B16" s="187"/>
      <c r="C16" s="189" t="s">
        <v>239</v>
      </c>
      <c r="D16" s="15"/>
      <c r="E16" s="177">
        <v>50</v>
      </c>
      <c r="F16" s="177"/>
      <c r="G16" s="15"/>
    </row>
    <row r="17" spans="1:8" ht="15">
      <c r="A17" s="187"/>
      <c r="B17" s="187"/>
      <c r="C17" s="189" t="s">
        <v>240</v>
      </c>
      <c r="E17" s="177">
        <v>200</v>
      </c>
      <c r="F17" s="177"/>
      <c r="G17" s="15"/>
    </row>
    <row r="18" spans="1:8" ht="26.25">
      <c r="A18" s="187"/>
      <c r="B18" s="187"/>
      <c r="C18" s="190" t="s">
        <v>241</v>
      </c>
      <c r="D18" s="15"/>
      <c r="E18" s="177">
        <v>250</v>
      </c>
      <c r="F18" s="177"/>
      <c r="G18" s="15"/>
    </row>
    <row r="19" spans="1:8" ht="15">
      <c r="A19" s="187"/>
      <c r="B19" s="187"/>
      <c r="C19" s="191" t="s">
        <v>242</v>
      </c>
      <c r="D19" s="191"/>
      <c r="E19" s="192">
        <v>25</v>
      </c>
      <c r="F19" s="192"/>
      <c r="G19" s="191" t="s">
        <v>243</v>
      </c>
    </row>
    <row r="20" spans="1:8" ht="15">
      <c r="A20" s="187"/>
      <c r="B20" s="187"/>
      <c r="C20" s="191" t="s">
        <v>244</v>
      </c>
      <c r="D20" s="194"/>
      <c r="E20" s="192"/>
      <c r="F20" s="192">
        <v>180</v>
      </c>
      <c r="G20" s="187"/>
    </row>
    <row r="21" spans="1:8" ht="15">
      <c r="A21" s="187"/>
      <c r="C21" s="170" t="s">
        <v>245</v>
      </c>
      <c r="D21" s="195"/>
      <c r="E21" s="196">
        <v>76.5</v>
      </c>
      <c r="G21" s="197" t="s">
        <v>246</v>
      </c>
    </row>
    <row r="22" spans="1:8" ht="15">
      <c r="A22" s="187"/>
      <c r="B22" s="33" t="s">
        <v>247</v>
      </c>
      <c r="C22" s="198" t="s">
        <v>248</v>
      </c>
      <c r="D22" s="195"/>
      <c r="E22" s="199">
        <v>250</v>
      </c>
      <c r="F22" s="199"/>
      <c r="G22" s="200"/>
    </row>
    <row r="23" spans="1:8" ht="15">
      <c r="A23" s="187"/>
      <c r="B23" s="187"/>
      <c r="C23" s="198" t="s">
        <v>249</v>
      </c>
      <c r="D23" s="194"/>
      <c r="E23" s="192">
        <v>50</v>
      </c>
      <c r="F23" s="192"/>
      <c r="G23" s="187"/>
    </row>
    <row r="24" spans="1:8" ht="15">
      <c r="A24" s="187"/>
      <c r="B24" s="187"/>
      <c r="C24" s="198" t="s">
        <v>250</v>
      </c>
      <c r="D24" s="194"/>
      <c r="E24" s="192">
        <v>250</v>
      </c>
      <c r="F24" s="192"/>
      <c r="G24" s="187"/>
    </row>
    <row r="25" spans="1:8" ht="15">
      <c r="A25" s="187"/>
      <c r="B25" s="187"/>
      <c r="C25" s="198" t="s">
        <v>251</v>
      </c>
      <c r="D25" s="194"/>
      <c r="E25" s="192">
        <v>250</v>
      </c>
      <c r="F25" s="192"/>
      <c r="G25" s="187"/>
    </row>
    <row r="26" spans="1:8" ht="15">
      <c r="A26" s="187"/>
      <c r="B26" s="187"/>
      <c r="C26" s="191" t="s">
        <v>252</v>
      </c>
      <c r="D26" s="194"/>
      <c r="E26" s="192"/>
      <c r="F26" s="192">
        <v>300</v>
      </c>
      <c r="G26" s="187"/>
    </row>
    <row r="27" spans="1:8" ht="15">
      <c r="A27" s="187"/>
      <c r="B27" s="187"/>
      <c r="C27" s="187"/>
      <c r="D27" s="187"/>
      <c r="E27" s="202"/>
      <c r="F27" s="202"/>
      <c r="G27" s="187"/>
    </row>
    <row r="28" spans="1:8" ht="15">
      <c r="A28" s="309"/>
      <c r="B28" s="287"/>
      <c r="C28" s="287"/>
      <c r="D28" s="287"/>
      <c r="E28" s="205"/>
      <c r="F28" s="205"/>
      <c r="G28" s="168" t="s">
        <v>228</v>
      </c>
    </row>
    <row r="29" spans="1:8" ht="12.75">
      <c r="B29" s="33" t="s">
        <v>230</v>
      </c>
      <c r="C29" s="186" t="s">
        <v>254</v>
      </c>
      <c r="D29" s="15"/>
      <c r="E29" s="177">
        <v>32.4</v>
      </c>
      <c r="F29" s="177"/>
      <c r="G29" s="13" t="s">
        <v>255</v>
      </c>
    </row>
    <row r="30" spans="1:8" ht="12.75">
      <c r="C30" s="186" t="s">
        <v>256</v>
      </c>
      <c r="D30" s="15"/>
      <c r="E30" s="177">
        <v>35</v>
      </c>
      <c r="F30" s="177"/>
      <c r="G30" s="13" t="s">
        <v>255</v>
      </c>
    </row>
    <row r="31" spans="1:8" ht="12.75">
      <c r="C31" s="188" t="s">
        <v>257</v>
      </c>
      <c r="D31" s="195"/>
      <c r="E31" s="207"/>
      <c r="F31" s="207"/>
      <c r="G31" s="209"/>
      <c r="H31" s="211"/>
    </row>
    <row r="32" spans="1:8" ht="12.75">
      <c r="C32" s="170" t="s">
        <v>258</v>
      </c>
      <c r="D32" s="195"/>
      <c r="E32" s="173">
        <v>38.200000000000003</v>
      </c>
      <c r="F32" s="174"/>
      <c r="G32" s="200" t="s">
        <v>259</v>
      </c>
      <c r="H32" s="212">
        <f>PRODUCT(E32,G32)*$E$31</f>
        <v>0</v>
      </c>
    </row>
    <row r="33" spans="2:8" ht="12.75">
      <c r="C33" s="170" t="s">
        <v>261</v>
      </c>
      <c r="D33" s="195"/>
      <c r="E33" s="173">
        <v>40.5</v>
      </c>
      <c r="F33" s="174"/>
      <c r="G33" s="200" t="s">
        <v>259</v>
      </c>
      <c r="H33" s="212"/>
    </row>
    <row r="34" spans="2:8" ht="12.75">
      <c r="C34" s="170" t="s">
        <v>262</v>
      </c>
      <c r="D34" s="195"/>
      <c r="E34" s="214"/>
      <c r="F34" s="196">
        <v>30</v>
      </c>
      <c r="G34" s="200" t="s">
        <v>264</v>
      </c>
      <c r="H34" s="212">
        <f>PRODUCT(F34,G34)*$E$31</f>
        <v>0</v>
      </c>
    </row>
    <row r="35" spans="2:8" ht="12.75">
      <c r="C35" s="188" t="s">
        <v>265</v>
      </c>
      <c r="D35" s="15"/>
      <c r="E35" s="214"/>
      <c r="F35" s="196">
        <v>30</v>
      </c>
      <c r="G35" s="200" t="s">
        <v>264</v>
      </c>
      <c r="H35" s="212">
        <f>PRODUCT(E44,G44)*$E$31</f>
        <v>0</v>
      </c>
    </row>
    <row r="36" spans="2:8" ht="12.75">
      <c r="C36" s="188" t="s">
        <v>266</v>
      </c>
      <c r="D36" s="15"/>
      <c r="E36" s="214"/>
      <c r="F36" s="214"/>
      <c r="G36" s="15"/>
      <c r="H36" s="212">
        <f>PRODUCT(E51,G51)*$E$31</f>
        <v>0</v>
      </c>
    </row>
    <row r="37" spans="2:8" ht="12.75">
      <c r="C37" s="188" t="s">
        <v>235</v>
      </c>
      <c r="D37" s="13" t="s">
        <v>267</v>
      </c>
      <c r="E37" s="196"/>
      <c r="F37" s="196">
        <v>25</v>
      </c>
      <c r="G37" s="197" t="s">
        <v>264</v>
      </c>
      <c r="H37" s="212"/>
    </row>
    <row r="38" spans="2:8" ht="12.75">
      <c r="C38" s="188" t="s">
        <v>268</v>
      </c>
      <c r="D38" s="216" t="s">
        <v>267</v>
      </c>
      <c r="E38" s="196"/>
      <c r="F38" s="196"/>
      <c r="G38" s="197"/>
      <c r="H38" s="212"/>
    </row>
    <row r="39" spans="2:8" ht="12.75">
      <c r="C39" s="188" t="s">
        <v>251</v>
      </c>
      <c r="D39" s="195"/>
      <c r="E39" s="196"/>
      <c r="F39" s="196"/>
      <c r="G39" s="197"/>
      <c r="H39" s="212"/>
    </row>
    <row r="40" spans="2:8" ht="12.75">
      <c r="C40" s="188" t="s">
        <v>269</v>
      </c>
      <c r="D40" s="216" t="s">
        <v>270</v>
      </c>
      <c r="E40" s="196">
        <v>10</v>
      </c>
      <c r="F40" s="196">
        <v>10</v>
      </c>
      <c r="G40" s="217" t="s">
        <v>271</v>
      </c>
      <c r="H40" s="212"/>
    </row>
    <row r="41" spans="2:8" ht="12.75">
      <c r="C41" s="170" t="s">
        <v>272</v>
      </c>
      <c r="D41" s="216" t="s">
        <v>273</v>
      </c>
      <c r="E41" s="196">
        <v>24</v>
      </c>
      <c r="F41" s="196"/>
      <c r="G41" s="197" t="s">
        <v>274</v>
      </c>
      <c r="H41" s="212"/>
    </row>
    <row r="42" spans="2:8" ht="12.75">
      <c r="C42" s="170" t="s">
        <v>275</v>
      </c>
      <c r="D42" s="195"/>
      <c r="E42" s="196">
        <v>100</v>
      </c>
      <c r="F42" s="196"/>
      <c r="G42" s="200" t="s">
        <v>276</v>
      </c>
      <c r="H42" s="212"/>
    </row>
    <row r="43" spans="2:8" ht="12.75">
      <c r="C43" s="170" t="s">
        <v>245</v>
      </c>
      <c r="D43" s="195"/>
      <c r="E43" s="196">
        <v>76.5</v>
      </c>
      <c r="F43" s="196"/>
      <c r="G43" s="197" t="s">
        <v>246</v>
      </c>
      <c r="H43" s="212">
        <f t="shared" ref="H43:H46" si="3">PRODUCT(E52,G52)*$E$31</f>
        <v>0</v>
      </c>
    </row>
    <row r="44" spans="2:8" ht="15.75" customHeight="1">
      <c r="B44" s="33" t="s">
        <v>247</v>
      </c>
      <c r="C44" s="170" t="s">
        <v>277</v>
      </c>
      <c r="D44" s="195"/>
      <c r="E44" s="199">
        <v>150</v>
      </c>
      <c r="F44" s="199"/>
      <c r="G44" s="200" t="s">
        <v>276</v>
      </c>
      <c r="H44" s="212">
        <f t="shared" si="3"/>
        <v>0</v>
      </c>
    </row>
    <row r="45" spans="2:8" ht="12.75">
      <c r="C45" s="170" t="s">
        <v>278</v>
      </c>
      <c r="D45" s="15"/>
      <c r="E45" s="214"/>
      <c r="F45" s="199">
        <v>100</v>
      </c>
      <c r="G45" s="13" t="s">
        <v>279</v>
      </c>
      <c r="H45" s="212">
        <f t="shared" si="3"/>
        <v>0</v>
      </c>
    </row>
    <row r="46" spans="2:8" ht="12.75">
      <c r="C46" s="186" t="s">
        <v>280</v>
      </c>
      <c r="D46" s="13" t="s">
        <v>267</v>
      </c>
      <c r="E46" s="214"/>
      <c r="F46" s="214"/>
      <c r="G46" s="15"/>
      <c r="H46" s="212">
        <f t="shared" si="3"/>
        <v>0</v>
      </c>
    </row>
    <row r="47" spans="2:8" ht="12.75">
      <c r="C47" s="188" t="s">
        <v>281</v>
      </c>
      <c r="D47" s="15"/>
      <c r="E47" s="214"/>
      <c r="F47" s="214"/>
      <c r="G47" s="15"/>
      <c r="H47" s="2"/>
    </row>
    <row r="48" spans="2:8" ht="12.75">
      <c r="C48" s="188" t="s">
        <v>282</v>
      </c>
      <c r="D48" s="15"/>
      <c r="E48" s="214"/>
      <c r="F48" s="214"/>
      <c r="G48" s="15"/>
      <c r="H48" s="2" t="s">
        <v>283</v>
      </c>
    </row>
    <row r="49" spans="3:8" ht="12.75">
      <c r="C49" s="188" t="s">
        <v>284</v>
      </c>
      <c r="D49" s="15"/>
      <c r="E49" s="214"/>
      <c r="F49" s="196">
        <v>0</v>
      </c>
      <c r="G49" s="15"/>
      <c r="H49" s="2" t="s">
        <v>285</v>
      </c>
    </row>
    <row r="50" spans="3:8" ht="12.75">
      <c r="C50" s="188" t="s">
        <v>250</v>
      </c>
      <c r="D50" s="15"/>
      <c r="E50" s="214"/>
      <c r="F50" s="214"/>
      <c r="G50" s="15"/>
    </row>
    <row r="51" spans="3:8" ht="12.75">
      <c r="C51" s="188" t="s">
        <v>286</v>
      </c>
      <c r="D51" s="195"/>
      <c r="E51" s="207"/>
      <c r="F51" s="207"/>
      <c r="G51" s="200" t="s">
        <v>287</v>
      </c>
    </row>
    <row r="52" spans="3:8" ht="12.75">
      <c r="C52" s="188" t="s">
        <v>288</v>
      </c>
      <c r="D52" s="195"/>
      <c r="E52" s="174"/>
      <c r="F52" s="174"/>
      <c r="G52" s="218"/>
    </row>
    <row r="53" spans="3:8" ht="12.75">
      <c r="C53" s="188" t="s">
        <v>289</v>
      </c>
      <c r="D53" s="195"/>
      <c r="E53" s="174"/>
      <c r="F53" s="174"/>
      <c r="G53" s="218"/>
    </row>
    <row r="54" spans="3:8" ht="12.75">
      <c r="C54" s="170"/>
      <c r="D54" s="195"/>
      <c r="E54" s="196"/>
      <c r="F54" s="196"/>
      <c r="G54" s="197"/>
    </row>
    <row r="55" spans="3:8" ht="12.75">
      <c r="C55" s="170" t="s">
        <v>290</v>
      </c>
      <c r="D55" s="195"/>
      <c r="E55" s="174">
        <f t="shared" ref="E55:F55" si="4">SUM(E29:E43)</f>
        <v>356.6</v>
      </c>
      <c r="F55" s="174">
        <f t="shared" si="4"/>
        <v>95</v>
      </c>
      <c r="G55" s="218"/>
    </row>
    <row r="56" spans="3:8" ht="12.75">
      <c r="C56" s="170" t="s">
        <v>291</v>
      </c>
      <c r="D56" s="15"/>
      <c r="E56" s="177">
        <f t="shared" ref="E56:F56" si="5">SUM(E44:E55)</f>
        <v>506.6</v>
      </c>
      <c r="F56" s="177">
        <f t="shared" si="5"/>
        <v>195</v>
      </c>
      <c r="G56" s="13"/>
    </row>
    <row r="57" spans="3:8" ht="12.75">
      <c r="C57" s="219" t="s">
        <v>292</v>
      </c>
      <c r="D57" s="2"/>
      <c r="E57" s="220" t="s">
        <v>2</v>
      </c>
      <c r="F57" s="220"/>
    </row>
    <row r="58" spans="3:8" ht="12.75">
      <c r="C58" s="219"/>
      <c r="D58" s="2"/>
      <c r="E58" s="220"/>
      <c r="F58" s="220"/>
      <c r="G58" s="52"/>
    </row>
    <row r="59" spans="3:8" ht="12.75">
      <c r="C59" s="184"/>
      <c r="E59" s="185"/>
      <c r="F59" s="185"/>
    </row>
    <row r="60" spans="3:8" ht="12.75">
      <c r="C60" s="184"/>
      <c r="E60" s="185"/>
      <c r="F60" s="185"/>
    </row>
    <row r="61" spans="3:8" ht="12.75">
      <c r="C61" s="184"/>
      <c r="E61" s="185"/>
      <c r="F61" s="185"/>
    </row>
    <row r="62" spans="3:8" ht="12.75">
      <c r="C62" s="184"/>
      <c r="E62" s="185"/>
      <c r="F62" s="185"/>
    </row>
    <row r="63" spans="3:8" ht="12.75">
      <c r="C63" s="184"/>
      <c r="E63" s="185"/>
      <c r="F63" s="185"/>
    </row>
    <row r="64" spans="3:8" ht="12.75">
      <c r="C64" s="184"/>
      <c r="E64" s="185"/>
      <c r="F64" s="185"/>
    </row>
    <row r="65" spans="3:6" ht="12.75">
      <c r="C65" s="184"/>
      <c r="E65" s="185"/>
      <c r="F65" s="185"/>
    </row>
    <row r="66" spans="3:6" ht="12.75">
      <c r="C66" s="184"/>
      <c r="E66" s="185"/>
      <c r="F66" s="185"/>
    </row>
    <row r="67" spans="3:6" ht="12.75">
      <c r="C67" s="184"/>
      <c r="E67" s="185"/>
      <c r="F67" s="185"/>
    </row>
    <row r="68" spans="3:6" ht="12.75">
      <c r="C68" s="184"/>
      <c r="E68" s="185"/>
      <c r="F68" s="185"/>
    </row>
    <row r="69" spans="3:6" ht="12.75">
      <c r="C69" s="184"/>
      <c r="E69" s="185"/>
      <c r="F69" s="185"/>
    </row>
    <row r="70" spans="3:6" ht="12.75">
      <c r="C70" s="184"/>
      <c r="E70" s="185"/>
      <c r="F70" s="185"/>
    </row>
    <row r="71" spans="3:6" ht="12.75">
      <c r="C71" s="184"/>
      <c r="E71" s="185"/>
      <c r="F71" s="185"/>
    </row>
    <row r="72" spans="3:6" ht="12.75">
      <c r="C72" s="184"/>
      <c r="E72" s="185"/>
      <c r="F72" s="185"/>
    </row>
    <row r="73" spans="3:6" ht="12.75">
      <c r="C73" s="184"/>
      <c r="E73" s="185"/>
      <c r="F73" s="185"/>
    </row>
    <row r="74" spans="3:6" ht="12.75">
      <c r="C74" s="184"/>
      <c r="E74" s="185"/>
      <c r="F74" s="185"/>
    </row>
    <row r="75" spans="3:6" ht="12.75">
      <c r="C75" s="184"/>
      <c r="E75" s="185"/>
      <c r="F75" s="185"/>
    </row>
    <row r="76" spans="3:6" ht="12.75">
      <c r="C76" s="184"/>
      <c r="E76" s="185"/>
      <c r="F76" s="185"/>
    </row>
    <row r="77" spans="3:6" ht="12.75">
      <c r="C77" s="184"/>
      <c r="E77" s="185"/>
      <c r="F77" s="185"/>
    </row>
    <row r="78" spans="3:6" ht="12.75">
      <c r="C78" s="184"/>
      <c r="E78" s="185"/>
      <c r="F78" s="185"/>
    </row>
    <row r="79" spans="3:6" ht="12.75">
      <c r="C79" s="184"/>
      <c r="E79" s="185"/>
      <c r="F79" s="185"/>
    </row>
    <row r="80" spans="3:6" ht="12.75">
      <c r="C80" s="184"/>
      <c r="E80" s="185"/>
      <c r="F80" s="185"/>
    </row>
    <row r="81" spans="3:6" ht="12.75">
      <c r="C81" s="184"/>
      <c r="E81" s="185"/>
      <c r="F81" s="185"/>
    </row>
    <row r="82" spans="3:6" ht="12.75">
      <c r="C82" s="184"/>
      <c r="E82" s="185"/>
      <c r="F82" s="185"/>
    </row>
    <row r="83" spans="3:6" ht="12.75">
      <c r="C83" s="184"/>
      <c r="E83" s="185"/>
      <c r="F83" s="185"/>
    </row>
    <row r="84" spans="3:6" ht="12.75">
      <c r="C84" s="184"/>
      <c r="E84" s="185"/>
      <c r="F84" s="185"/>
    </row>
    <row r="85" spans="3:6" ht="12.75">
      <c r="C85" s="184"/>
      <c r="E85" s="185"/>
      <c r="F85" s="185"/>
    </row>
    <row r="86" spans="3:6" ht="12.75">
      <c r="C86" s="184"/>
      <c r="E86" s="185"/>
      <c r="F86" s="185"/>
    </row>
    <row r="87" spans="3:6" ht="12.75">
      <c r="C87" s="184"/>
      <c r="E87" s="185"/>
      <c r="F87" s="185"/>
    </row>
    <row r="88" spans="3:6" ht="12.75">
      <c r="C88" s="184"/>
      <c r="E88" s="185"/>
      <c r="F88" s="185"/>
    </row>
    <row r="89" spans="3:6" ht="12.75">
      <c r="C89" s="184"/>
      <c r="E89" s="185"/>
      <c r="F89" s="185"/>
    </row>
    <row r="90" spans="3:6" ht="12.75">
      <c r="C90" s="184"/>
      <c r="E90" s="185"/>
      <c r="F90" s="185"/>
    </row>
    <row r="91" spans="3:6" ht="12.75">
      <c r="C91" s="184"/>
      <c r="E91" s="185"/>
      <c r="F91" s="185"/>
    </row>
    <row r="92" spans="3:6" ht="12.75">
      <c r="C92" s="184"/>
      <c r="E92" s="185"/>
      <c r="F92" s="185"/>
    </row>
    <row r="93" spans="3:6" ht="12.75">
      <c r="C93" s="184"/>
      <c r="E93" s="185"/>
      <c r="F93" s="185"/>
    </row>
    <row r="94" spans="3:6" ht="12.75">
      <c r="C94" s="184"/>
      <c r="E94" s="185"/>
      <c r="F94" s="185"/>
    </row>
    <row r="95" spans="3:6" ht="12.75">
      <c r="C95" s="184"/>
      <c r="E95" s="185"/>
      <c r="F95" s="185"/>
    </row>
    <row r="96" spans="3:6" ht="12.75">
      <c r="C96" s="184"/>
      <c r="E96" s="185"/>
      <c r="F96" s="185"/>
    </row>
    <row r="97" spans="3:6" ht="12.75">
      <c r="C97" s="184"/>
      <c r="E97" s="185"/>
      <c r="F97" s="185"/>
    </row>
    <row r="98" spans="3:6" ht="12.75">
      <c r="C98" s="184"/>
      <c r="E98" s="185"/>
      <c r="F98" s="185"/>
    </row>
    <row r="99" spans="3:6" ht="12.75">
      <c r="C99" s="184"/>
      <c r="E99" s="185"/>
      <c r="F99" s="185"/>
    </row>
    <row r="100" spans="3:6" ht="12.75">
      <c r="C100" s="184"/>
      <c r="E100" s="185"/>
      <c r="F100" s="185"/>
    </row>
    <row r="101" spans="3:6" ht="12.75">
      <c r="C101" s="184"/>
      <c r="E101" s="185"/>
      <c r="F101" s="185"/>
    </row>
    <row r="102" spans="3:6" ht="12.75">
      <c r="C102" s="184"/>
      <c r="E102" s="185"/>
      <c r="F102" s="185"/>
    </row>
    <row r="103" spans="3:6" ht="12.75">
      <c r="C103" s="184"/>
      <c r="E103" s="185"/>
      <c r="F103" s="185"/>
    </row>
    <row r="104" spans="3:6" ht="12.75">
      <c r="C104" s="184"/>
      <c r="E104" s="185"/>
      <c r="F104" s="185"/>
    </row>
    <row r="105" spans="3:6" ht="12.75">
      <c r="C105" s="184"/>
      <c r="E105" s="185"/>
      <c r="F105" s="185"/>
    </row>
    <row r="106" spans="3:6" ht="12.75">
      <c r="C106" s="184"/>
      <c r="E106" s="185"/>
      <c r="F106" s="185"/>
    </row>
    <row r="107" spans="3:6" ht="12.75">
      <c r="C107" s="184"/>
      <c r="E107" s="185"/>
      <c r="F107" s="185"/>
    </row>
    <row r="108" spans="3:6" ht="12.75">
      <c r="C108" s="184"/>
      <c r="E108" s="185"/>
      <c r="F108" s="185"/>
    </row>
    <row r="109" spans="3:6" ht="12.75">
      <c r="C109" s="184"/>
      <c r="E109" s="185"/>
      <c r="F109" s="185"/>
    </row>
    <row r="110" spans="3:6" ht="12.75">
      <c r="C110" s="184"/>
      <c r="E110" s="185"/>
      <c r="F110" s="185"/>
    </row>
    <row r="111" spans="3:6" ht="12.75">
      <c r="C111" s="184"/>
      <c r="E111" s="185"/>
      <c r="F111" s="185"/>
    </row>
    <row r="112" spans="3:6" ht="12.75">
      <c r="C112" s="184"/>
      <c r="E112" s="185"/>
      <c r="F112" s="185"/>
    </row>
    <row r="113" spans="3:6" ht="12.75">
      <c r="C113" s="184"/>
      <c r="E113" s="185"/>
      <c r="F113" s="185"/>
    </row>
    <row r="114" spans="3:6" ht="12.75">
      <c r="C114" s="184"/>
      <c r="E114" s="185"/>
      <c r="F114" s="185"/>
    </row>
    <row r="115" spans="3:6" ht="12.75">
      <c r="C115" s="184"/>
      <c r="E115" s="185"/>
      <c r="F115" s="185"/>
    </row>
    <row r="116" spans="3:6" ht="12.75">
      <c r="C116" s="184"/>
      <c r="E116" s="185"/>
      <c r="F116" s="185"/>
    </row>
    <row r="117" spans="3:6" ht="12.75">
      <c r="C117" s="184"/>
      <c r="E117" s="185"/>
      <c r="F117" s="185"/>
    </row>
    <row r="118" spans="3:6" ht="12.75">
      <c r="C118" s="184"/>
      <c r="E118" s="185"/>
      <c r="F118" s="185"/>
    </row>
    <row r="119" spans="3:6" ht="12.75">
      <c r="C119" s="184"/>
      <c r="E119" s="185"/>
      <c r="F119" s="185"/>
    </row>
    <row r="120" spans="3:6" ht="12.75">
      <c r="C120" s="184"/>
      <c r="E120" s="185"/>
      <c r="F120" s="185"/>
    </row>
    <row r="121" spans="3:6" ht="12.75">
      <c r="C121" s="184"/>
      <c r="E121" s="185"/>
      <c r="F121" s="185"/>
    </row>
    <row r="122" spans="3:6" ht="12.75">
      <c r="C122" s="184"/>
      <c r="E122" s="185"/>
      <c r="F122" s="185"/>
    </row>
    <row r="123" spans="3:6" ht="12.75">
      <c r="C123" s="184"/>
      <c r="E123" s="185"/>
      <c r="F123" s="185"/>
    </row>
    <row r="124" spans="3:6" ht="12.75">
      <c r="C124" s="184"/>
      <c r="E124" s="185"/>
      <c r="F124" s="185"/>
    </row>
    <row r="125" spans="3:6" ht="12.75">
      <c r="C125" s="184"/>
      <c r="E125" s="185"/>
      <c r="F125" s="185"/>
    </row>
    <row r="126" spans="3:6" ht="12.75">
      <c r="C126" s="184"/>
      <c r="E126" s="185"/>
      <c r="F126" s="185"/>
    </row>
    <row r="127" spans="3:6" ht="12.75">
      <c r="C127" s="184"/>
      <c r="E127" s="185"/>
      <c r="F127" s="185"/>
    </row>
    <row r="128" spans="3:6" ht="12.75">
      <c r="C128" s="184"/>
      <c r="E128" s="185"/>
      <c r="F128" s="185"/>
    </row>
    <row r="129" spans="3:6" ht="12.75">
      <c r="C129" s="184"/>
      <c r="E129" s="185"/>
      <c r="F129" s="185"/>
    </row>
    <row r="130" spans="3:6" ht="12.75">
      <c r="C130" s="184"/>
      <c r="E130" s="185"/>
      <c r="F130" s="185"/>
    </row>
    <row r="131" spans="3:6" ht="12.75">
      <c r="C131" s="184"/>
      <c r="E131" s="185"/>
      <c r="F131" s="185"/>
    </row>
    <row r="132" spans="3:6" ht="12.75">
      <c r="C132" s="184"/>
      <c r="E132" s="185"/>
      <c r="F132" s="185"/>
    </row>
    <row r="133" spans="3:6" ht="12.75">
      <c r="C133" s="184"/>
      <c r="E133" s="185"/>
      <c r="F133" s="185"/>
    </row>
    <row r="134" spans="3:6" ht="12.75">
      <c r="C134" s="184"/>
      <c r="E134" s="185"/>
      <c r="F134" s="185"/>
    </row>
    <row r="135" spans="3:6" ht="12.75">
      <c r="C135" s="184"/>
      <c r="E135" s="185"/>
      <c r="F135" s="185"/>
    </row>
    <row r="136" spans="3:6" ht="12.75">
      <c r="C136" s="184"/>
      <c r="E136" s="185"/>
      <c r="F136" s="185"/>
    </row>
    <row r="137" spans="3:6" ht="12.75">
      <c r="C137" s="184"/>
      <c r="E137" s="185"/>
      <c r="F137" s="185"/>
    </row>
    <row r="138" spans="3:6" ht="12.75">
      <c r="C138" s="184"/>
      <c r="E138" s="185"/>
      <c r="F138" s="185"/>
    </row>
    <row r="139" spans="3:6" ht="12.75">
      <c r="C139" s="184"/>
      <c r="E139" s="185"/>
      <c r="F139" s="185"/>
    </row>
    <row r="140" spans="3:6" ht="12.75">
      <c r="C140" s="184"/>
      <c r="E140" s="185"/>
      <c r="F140" s="185"/>
    </row>
    <row r="141" spans="3:6" ht="12.75">
      <c r="C141" s="184"/>
      <c r="E141" s="185"/>
      <c r="F141" s="185"/>
    </row>
    <row r="142" spans="3:6" ht="12.75">
      <c r="C142" s="184"/>
      <c r="E142" s="185"/>
      <c r="F142" s="185"/>
    </row>
    <row r="143" spans="3:6" ht="12.75">
      <c r="C143" s="184"/>
      <c r="E143" s="185"/>
      <c r="F143" s="185"/>
    </row>
    <row r="144" spans="3:6" ht="12.75">
      <c r="C144" s="184"/>
      <c r="E144" s="185"/>
      <c r="F144" s="185"/>
    </row>
    <row r="145" spans="3:6" ht="12.75">
      <c r="C145" s="184"/>
      <c r="E145" s="185"/>
      <c r="F145" s="185"/>
    </row>
    <row r="146" spans="3:6" ht="12.75">
      <c r="C146" s="184"/>
      <c r="E146" s="185"/>
      <c r="F146" s="185"/>
    </row>
    <row r="147" spans="3:6" ht="12.75">
      <c r="C147" s="184"/>
      <c r="E147" s="185"/>
      <c r="F147" s="185"/>
    </row>
    <row r="148" spans="3:6" ht="12.75">
      <c r="C148" s="184"/>
      <c r="E148" s="185"/>
      <c r="F148" s="185"/>
    </row>
    <row r="149" spans="3:6" ht="12.75">
      <c r="C149" s="184"/>
      <c r="E149" s="185"/>
      <c r="F149" s="185"/>
    </row>
    <row r="150" spans="3:6" ht="12.75">
      <c r="C150" s="184"/>
      <c r="E150" s="185"/>
      <c r="F150" s="185"/>
    </row>
    <row r="151" spans="3:6" ht="12.75">
      <c r="C151" s="184"/>
      <c r="E151" s="185"/>
      <c r="F151" s="185"/>
    </row>
    <row r="152" spans="3:6" ht="12.75">
      <c r="C152" s="184"/>
      <c r="E152" s="185"/>
      <c r="F152" s="185"/>
    </row>
    <row r="153" spans="3:6" ht="12.75">
      <c r="C153" s="184"/>
      <c r="E153" s="185"/>
      <c r="F153" s="185"/>
    </row>
    <row r="154" spans="3:6" ht="12.75">
      <c r="C154" s="184"/>
      <c r="E154" s="185"/>
      <c r="F154" s="185"/>
    </row>
    <row r="155" spans="3:6" ht="12.75">
      <c r="C155" s="184"/>
      <c r="E155" s="185"/>
      <c r="F155" s="185"/>
    </row>
    <row r="156" spans="3:6" ht="12.75">
      <c r="C156" s="184"/>
      <c r="E156" s="185"/>
      <c r="F156" s="185"/>
    </row>
    <row r="157" spans="3:6" ht="12.75">
      <c r="C157" s="184"/>
      <c r="E157" s="185"/>
      <c r="F157" s="185"/>
    </row>
    <row r="158" spans="3:6" ht="12.75">
      <c r="C158" s="184"/>
      <c r="E158" s="185"/>
      <c r="F158" s="185"/>
    </row>
    <row r="159" spans="3:6" ht="12.75">
      <c r="C159" s="184"/>
      <c r="E159" s="185"/>
      <c r="F159" s="185"/>
    </row>
    <row r="160" spans="3:6" ht="12.75">
      <c r="C160" s="184"/>
      <c r="E160" s="185"/>
      <c r="F160" s="185"/>
    </row>
    <row r="161" spans="3:6" ht="12.75">
      <c r="C161" s="184"/>
      <c r="E161" s="185"/>
      <c r="F161" s="185"/>
    </row>
    <row r="162" spans="3:6" ht="12.75">
      <c r="C162" s="184"/>
      <c r="E162" s="185"/>
      <c r="F162" s="185"/>
    </row>
    <row r="163" spans="3:6" ht="12.75">
      <c r="C163" s="184"/>
      <c r="E163" s="185"/>
      <c r="F163" s="185"/>
    </row>
    <row r="164" spans="3:6" ht="12.75">
      <c r="C164" s="184"/>
      <c r="E164" s="185"/>
      <c r="F164" s="185"/>
    </row>
    <row r="165" spans="3:6" ht="12.75">
      <c r="C165" s="184"/>
      <c r="E165" s="185"/>
      <c r="F165" s="185"/>
    </row>
    <row r="166" spans="3:6" ht="12.75">
      <c r="C166" s="184"/>
      <c r="E166" s="185"/>
      <c r="F166" s="185"/>
    </row>
    <row r="167" spans="3:6" ht="12.75">
      <c r="C167" s="184"/>
      <c r="E167" s="185"/>
      <c r="F167" s="185"/>
    </row>
    <row r="168" spans="3:6" ht="12.75">
      <c r="C168" s="184"/>
      <c r="E168" s="185"/>
      <c r="F168" s="185"/>
    </row>
    <row r="169" spans="3:6" ht="12.75">
      <c r="C169" s="184"/>
      <c r="E169" s="185"/>
      <c r="F169" s="185"/>
    </row>
    <row r="170" spans="3:6" ht="12.75">
      <c r="C170" s="184"/>
      <c r="E170" s="185"/>
      <c r="F170" s="185"/>
    </row>
    <row r="171" spans="3:6" ht="12.75">
      <c r="C171" s="184"/>
      <c r="E171" s="185"/>
      <c r="F171" s="185"/>
    </row>
    <row r="172" spans="3:6" ht="12.75">
      <c r="C172" s="184"/>
      <c r="E172" s="185"/>
      <c r="F172" s="185"/>
    </row>
    <row r="173" spans="3:6" ht="12.75">
      <c r="C173" s="184"/>
      <c r="E173" s="185"/>
      <c r="F173" s="185"/>
    </row>
    <row r="174" spans="3:6" ht="12.75">
      <c r="C174" s="184"/>
      <c r="E174" s="185"/>
      <c r="F174" s="185"/>
    </row>
    <row r="175" spans="3:6" ht="12.75">
      <c r="C175" s="184"/>
      <c r="E175" s="185"/>
      <c r="F175" s="185"/>
    </row>
    <row r="176" spans="3:6" ht="12.75">
      <c r="C176" s="184"/>
      <c r="E176" s="185"/>
      <c r="F176" s="185"/>
    </row>
    <row r="177" spans="3:6" ht="12.75">
      <c r="C177" s="184"/>
      <c r="E177" s="185"/>
      <c r="F177" s="185"/>
    </row>
    <row r="178" spans="3:6" ht="12.75">
      <c r="C178" s="184"/>
      <c r="E178" s="185"/>
      <c r="F178" s="185"/>
    </row>
    <row r="179" spans="3:6" ht="12.75">
      <c r="C179" s="184"/>
      <c r="E179" s="185"/>
      <c r="F179" s="185"/>
    </row>
    <row r="180" spans="3:6" ht="12.75">
      <c r="C180" s="184"/>
      <c r="E180" s="185"/>
      <c r="F180" s="185"/>
    </row>
    <row r="181" spans="3:6" ht="12.75">
      <c r="C181" s="184"/>
      <c r="E181" s="185"/>
      <c r="F181" s="185"/>
    </row>
    <row r="182" spans="3:6" ht="12.75">
      <c r="C182" s="184"/>
      <c r="E182" s="185"/>
      <c r="F182" s="185"/>
    </row>
    <row r="183" spans="3:6" ht="12.75">
      <c r="C183" s="184"/>
      <c r="E183" s="185"/>
      <c r="F183" s="185"/>
    </row>
    <row r="184" spans="3:6" ht="12.75">
      <c r="C184" s="184"/>
      <c r="E184" s="185"/>
      <c r="F184" s="185"/>
    </row>
    <row r="185" spans="3:6" ht="12.75">
      <c r="C185" s="184"/>
      <c r="E185" s="185"/>
      <c r="F185" s="185"/>
    </row>
    <row r="186" spans="3:6" ht="12.75">
      <c r="C186" s="184"/>
      <c r="E186" s="185"/>
      <c r="F186" s="185"/>
    </row>
    <row r="187" spans="3:6" ht="12.75">
      <c r="C187" s="184"/>
      <c r="E187" s="185"/>
      <c r="F187" s="185"/>
    </row>
    <row r="188" spans="3:6" ht="12.75">
      <c r="C188" s="184"/>
      <c r="E188" s="185"/>
      <c r="F188" s="185"/>
    </row>
    <row r="189" spans="3:6" ht="12.75">
      <c r="C189" s="184"/>
      <c r="E189" s="185"/>
      <c r="F189" s="185"/>
    </row>
    <row r="190" spans="3:6" ht="12.75">
      <c r="C190" s="184"/>
      <c r="E190" s="185"/>
      <c r="F190" s="185"/>
    </row>
    <row r="191" spans="3:6" ht="12.75">
      <c r="C191" s="184"/>
      <c r="E191" s="185"/>
      <c r="F191" s="185"/>
    </row>
    <row r="192" spans="3:6" ht="12.75">
      <c r="C192" s="184"/>
      <c r="E192" s="185"/>
      <c r="F192" s="185"/>
    </row>
    <row r="193" spans="3:6" ht="12.75">
      <c r="C193" s="184"/>
      <c r="E193" s="185"/>
      <c r="F193" s="185"/>
    </row>
    <row r="194" spans="3:6" ht="12.75">
      <c r="C194" s="184"/>
      <c r="E194" s="185"/>
      <c r="F194" s="185"/>
    </row>
    <row r="195" spans="3:6" ht="12.75">
      <c r="C195" s="184"/>
      <c r="E195" s="185"/>
      <c r="F195" s="185"/>
    </row>
    <row r="196" spans="3:6" ht="12.75">
      <c r="C196" s="184"/>
      <c r="E196" s="185"/>
      <c r="F196" s="185"/>
    </row>
    <row r="197" spans="3:6" ht="12.75">
      <c r="C197" s="184"/>
      <c r="E197" s="185"/>
      <c r="F197" s="185"/>
    </row>
    <row r="198" spans="3:6" ht="12.75">
      <c r="C198" s="184"/>
      <c r="E198" s="185"/>
      <c r="F198" s="185"/>
    </row>
    <row r="199" spans="3:6" ht="12.75">
      <c r="C199" s="184"/>
      <c r="E199" s="185"/>
      <c r="F199" s="185"/>
    </row>
    <row r="200" spans="3:6" ht="12.75">
      <c r="C200" s="184"/>
      <c r="E200" s="185"/>
      <c r="F200" s="185"/>
    </row>
    <row r="201" spans="3:6" ht="12.75">
      <c r="C201" s="184"/>
      <c r="E201" s="185"/>
      <c r="F201" s="185"/>
    </row>
    <row r="202" spans="3:6" ht="12.75">
      <c r="C202" s="184"/>
      <c r="E202" s="185"/>
      <c r="F202" s="185"/>
    </row>
    <row r="203" spans="3:6" ht="12.75">
      <c r="C203" s="184"/>
      <c r="E203" s="185"/>
      <c r="F203" s="185"/>
    </row>
    <row r="204" spans="3:6" ht="12.75">
      <c r="C204" s="184"/>
      <c r="E204" s="185"/>
      <c r="F204" s="185"/>
    </row>
    <row r="205" spans="3:6" ht="12.75">
      <c r="C205" s="184"/>
      <c r="E205" s="185"/>
      <c r="F205" s="185"/>
    </row>
    <row r="206" spans="3:6" ht="12.75">
      <c r="C206" s="184"/>
      <c r="E206" s="185"/>
      <c r="F206" s="185"/>
    </row>
    <row r="207" spans="3:6" ht="12.75">
      <c r="C207" s="184"/>
      <c r="E207" s="185"/>
      <c r="F207" s="185"/>
    </row>
    <row r="208" spans="3:6" ht="12.75">
      <c r="C208" s="184"/>
      <c r="E208" s="185"/>
      <c r="F208" s="185"/>
    </row>
    <row r="209" spans="3:6" ht="12.75">
      <c r="C209" s="184"/>
      <c r="E209" s="185"/>
      <c r="F209" s="185"/>
    </row>
    <row r="210" spans="3:6" ht="12.75">
      <c r="C210" s="184"/>
      <c r="E210" s="185"/>
      <c r="F210" s="185"/>
    </row>
    <row r="211" spans="3:6" ht="12.75">
      <c r="C211" s="184"/>
      <c r="E211" s="185"/>
      <c r="F211" s="185"/>
    </row>
    <row r="212" spans="3:6" ht="12.75">
      <c r="C212" s="184"/>
      <c r="E212" s="185"/>
      <c r="F212" s="185"/>
    </row>
    <row r="213" spans="3:6" ht="12.75">
      <c r="C213" s="184"/>
      <c r="E213" s="185"/>
      <c r="F213" s="185"/>
    </row>
    <row r="214" spans="3:6" ht="12.75">
      <c r="C214" s="184"/>
      <c r="E214" s="185"/>
      <c r="F214" s="185"/>
    </row>
    <row r="215" spans="3:6" ht="12.75">
      <c r="C215" s="184"/>
      <c r="E215" s="185"/>
      <c r="F215" s="185"/>
    </row>
    <row r="216" spans="3:6" ht="12.75">
      <c r="C216" s="184"/>
      <c r="E216" s="185"/>
      <c r="F216" s="185"/>
    </row>
    <row r="217" spans="3:6" ht="12.75">
      <c r="C217" s="184"/>
      <c r="E217" s="185"/>
      <c r="F217" s="185"/>
    </row>
    <row r="218" spans="3:6" ht="12.75">
      <c r="C218" s="184"/>
      <c r="E218" s="185"/>
      <c r="F218" s="185"/>
    </row>
    <row r="219" spans="3:6" ht="12.75">
      <c r="C219" s="184"/>
      <c r="E219" s="185"/>
      <c r="F219" s="185"/>
    </row>
    <row r="220" spans="3:6" ht="12.75">
      <c r="C220" s="184"/>
      <c r="E220" s="185"/>
      <c r="F220" s="185"/>
    </row>
    <row r="221" spans="3:6" ht="12.75">
      <c r="C221" s="184"/>
      <c r="E221" s="185"/>
      <c r="F221" s="185"/>
    </row>
    <row r="222" spans="3:6" ht="12.75">
      <c r="C222" s="184"/>
      <c r="E222" s="185"/>
      <c r="F222" s="185"/>
    </row>
    <row r="223" spans="3:6" ht="12.75">
      <c r="C223" s="184"/>
      <c r="E223" s="185"/>
      <c r="F223" s="185"/>
    </row>
    <row r="224" spans="3:6" ht="12.75">
      <c r="C224" s="184"/>
      <c r="E224" s="185"/>
      <c r="F224" s="185"/>
    </row>
    <row r="225" spans="3:6" ht="12.75">
      <c r="C225" s="184"/>
      <c r="E225" s="185"/>
      <c r="F225" s="185"/>
    </row>
    <row r="226" spans="3:6" ht="12.75">
      <c r="C226" s="184"/>
      <c r="E226" s="185"/>
      <c r="F226" s="185"/>
    </row>
    <row r="227" spans="3:6" ht="12.75">
      <c r="C227" s="184"/>
      <c r="E227" s="185"/>
      <c r="F227" s="185"/>
    </row>
    <row r="228" spans="3:6" ht="12.75">
      <c r="C228" s="184"/>
      <c r="E228" s="185"/>
      <c r="F228" s="185"/>
    </row>
    <row r="229" spans="3:6" ht="12.75">
      <c r="C229" s="184"/>
      <c r="E229" s="185"/>
      <c r="F229" s="185"/>
    </row>
    <row r="230" spans="3:6" ht="12.75">
      <c r="C230" s="184"/>
      <c r="E230" s="185"/>
      <c r="F230" s="185"/>
    </row>
    <row r="231" spans="3:6" ht="12.75">
      <c r="C231" s="184"/>
      <c r="E231" s="185"/>
      <c r="F231" s="185"/>
    </row>
    <row r="232" spans="3:6" ht="12.75">
      <c r="C232" s="184"/>
      <c r="E232" s="185"/>
      <c r="F232" s="185"/>
    </row>
    <row r="233" spans="3:6" ht="12.75">
      <c r="C233" s="184"/>
      <c r="E233" s="185"/>
      <c r="F233" s="185"/>
    </row>
    <row r="234" spans="3:6" ht="12.75">
      <c r="C234" s="184"/>
      <c r="E234" s="185"/>
      <c r="F234" s="185"/>
    </row>
    <row r="235" spans="3:6" ht="12.75">
      <c r="C235" s="184"/>
      <c r="E235" s="185"/>
      <c r="F235" s="185"/>
    </row>
    <row r="236" spans="3:6" ht="12.75">
      <c r="C236" s="184"/>
      <c r="E236" s="185"/>
      <c r="F236" s="185"/>
    </row>
    <row r="237" spans="3:6" ht="12.75">
      <c r="C237" s="184"/>
      <c r="E237" s="185"/>
      <c r="F237" s="185"/>
    </row>
    <row r="238" spans="3:6" ht="12.75">
      <c r="C238" s="184"/>
      <c r="E238" s="185"/>
      <c r="F238" s="185"/>
    </row>
    <row r="239" spans="3:6" ht="12.75">
      <c r="C239" s="184"/>
      <c r="E239" s="185"/>
      <c r="F239" s="185"/>
    </row>
    <row r="240" spans="3:6" ht="12.75">
      <c r="C240" s="184"/>
      <c r="E240" s="185"/>
      <c r="F240" s="185"/>
    </row>
    <row r="241" spans="3:6" ht="12.75">
      <c r="C241" s="184"/>
      <c r="E241" s="185"/>
      <c r="F241" s="185"/>
    </row>
    <row r="242" spans="3:6" ht="12.75">
      <c r="C242" s="184"/>
      <c r="E242" s="185"/>
      <c r="F242" s="185"/>
    </row>
    <row r="243" spans="3:6" ht="12.75">
      <c r="C243" s="184"/>
      <c r="E243" s="185"/>
      <c r="F243" s="185"/>
    </row>
    <row r="244" spans="3:6" ht="12.75">
      <c r="C244" s="184"/>
      <c r="E244" s="185"/>
      <c r="F244" s="185"/>
    </row>
    <row r="245" spans="3:6" ht="12.75">
      <c r="C245" s="184"/>
      <c r="E245" s="185"/>
      <c r="F245" s="185"/>
    </row>
    <row r="246" spans="3:6" ht="12.75">
      <c r="C246" s="184"/>
      <c r="E246" s="185"/>
      <c r="F246" s="185"/>
    </row>
    <row r="247" spans="3:6" ht="12.75">
      <c r="C247" s="184"/>
      <c r="E247" s="185"/>
      <c r="F247" s="185"/>
    </row>
    <row r="248" spans="3:6" ht="12.75">
      <c r="C248" s="184"/>
      <c r="E248" s="185"/>
      <c r="F248" s="185"/>
    </row>
    <row r="249" spans="3:6" ht="12.75">
      <c r="C249" s="184"/>
      <c r="E249" s="185"/>
      <c r="F249" s="185"/>
    </row>
    <row r="250" spans="3:6" ht="12.75">
      <c r="C250" s="184"/>
      <c r="E250" s="185"/>
      <c r="F250" s="185"/>
    </row>
    <row r="251" spans="3:6" ht="12.75">
      <c r="C251" s="184"/>
      <c r="E251" s="185"/>
      <c r="F251" s="185"/>
    </row>
    <row r="252" spans="3:6" ht="12.75">
      <c r="C252" s="184"/>
      <c r="E252" s="185"/>
      <c r="F252" s="185"/>
    </row>
    <row r="253" spans="3:6" ht="12.75">
      <c r="C253" s="184"/>
      <c r="E253" s="185"/>
      <c r="F253" s="185"/>
    </row>
    <row r="254" spans="3:6" ht="12.75">
      <c r="C254" s="184"/>
      <c r="E254" s="185"/>
      <c r="F254" s="185"/>
    </row>
    <row r="255" spans="3:6" ht="12.75">
      <c r="C255" s="184"/>
      <c r="E255" s="185"/>
      <c r="F255" s="185"/>
    </row>
    <row r="256" spans="3:6" ht="12.75">
      <c r="C256" s="184"/>
      <c r="E256" s="185"/>
      <c r="F256" s="185"/>
    </row>
    <row r="257" spans="3:6" ht="12.75">
      <c r="C257" s="184"/>
      <c r="E257" s="185"/>
      <c r="F257" s="185"/>
    </row>
    <row r="258" spans="3:6" ht="12.75">
      <c r="C258" s="184"/>
      <c r="E258" s="185"/>
      <c r="F258" s="185"/>
    </row>
    <row r="259" spans="3:6" ht="12.75">
      <c r="C259" s="184"/>
      <c r="E259" s="185"/>
      <c r="F259" s="185"/>
    </row>
    <row r="260" spans="3:6" ht="12.75">
      <c r="C260" s="184"/>
      <c r="E260" s="185"/>
      <c r="F260" s="185"/>
    </row>
    <row r="261" spans="3:6" ht="12.75">
      <c r="C261" s="184"/>
      <c r="E261" s="185"/>
      <c r="F261" s="185"/>
    </row>
    <row r="262" spans="3:6" ht="12.75">
      <c r="C262" s="184"/>
      <c r="E262" s="185"/>
      <c r="F262" s="185"/>
    </row>
    <row r="263" spans="3:6" ht="12.75">
      <c r="C263" s="184"/>
      <c r="E263" s="185"/>
      <c r="F263" s="185"/>
    </row>
    <row r="264" spans="3:6" ht="12.75">
      <c r="C264" s="184"/>
      <c r="E264" s="185"/>
      <c r="F264" s="185"/>
    </row>
    <row r="265" spans="3:6" ht="12.75">
      <c r="C265" s="184"/>
      <c r="E265" s="185"/>
      <c r="F265" s="185"/>
    </row>
    <row r="266" spans="3:6" ht="12.75">
      <c r="C266" s="184"/>
      <c r="E266" s="185"/>
      <c r="F266" s="185"/>
    </row>
    <row r="267" spans="3:6" ht="12.75">
      <c r="C267" s="184"/>
      <c r="E267" s="185"/>
      <c r="F267" s="185"/>
    </row>
    <row r="268" spans="3:6" ht="12.75">
      <c r="C268" s="184"/>
      <c r="E268" s="185"/>
      <c r="F268" s="185"/>
    </row>
    <row r="269" spans="3:6" ht="12.75">
      <c r="C269" s="184"/>
      <c r="E269" s="185"/>
      <c r="F269" s="185"/>
    </row>
    <row r="270" spans="3:6" ht="12.75">
      <c r="C270" s="184"/>
      <c r="E270" s="185"/>
      <c r="F270" s="185"/>
    </row>
    <row r="271" spans="3:6" ht="12.75">
      <c r="C271" s="184"/>
      <c r="E271" s="185"/>
      <c r="F271" s="185"/>
    </row>
    <row r="272" spans="3:6" ht="12.75">
      <c r="C272" s="184"/>
      <c r="E272" s="185"/>
      <c r="F272" s="185"/>
    </row>
    <row r="273" spans="3:6" ht="12.75">
      <c r="C273" s="184"/>
      <c r="E273" s="185"/>
      <c r="F273" s="185"/>
    </row>
    <row r="274" spans="3:6" ht="12.75">
      <c r="C274" s="184"/>
      <c r="E274" s="185"/>
      <c r="F274" s="185"/>
    </row>
    <row r="275" spans="3:6" ht="12.75">
      <c r="C275" s="184"/>
      <c r="E275" s="185"/>
      <c r="F275" s="185"/>
    </row>
    <row r="276" spans="3:6" ht="12.75">
      <c r="C276" s="184"/>
      <c r="E276" s="185"/>
      <c r="F276" s="185"/>
    </row>
    <row r="277" spans="3:6" ht="12.75">
      <c r="C277" s="184"/>
      <c r="E277" s="185"/>
      <c r="F277" s="185"/>
    </row>
    <row r="278" spans="3:6" ht="12.75">
      <c r="C278" s="184"/>
      <c r="E278" s="185"/>
      <c r="F278" s="185"/>
    </row>
    <row r="279" spans="3:6" ht="12.75">
      <c r="C279" s="184"/>
      <c r="E279" s="185"/>
      <c r="F279" s="185"/>
    </row>
    <row r="280" spans="3:6" ht="12.75">
      <c r="C280" s="184"/>
      <c r="E280" s="185"/>
      <c r="F280" s="185"/>
    </row>
    <row r="281" spans="3:6" ht="12.75">
      <c r="C281" s="184"/>
      <c r="E281" s="185"/>
      <c r="F281" s="185"/>
    </row>
    <row r="282" spans="3:6" ht="12.75">
      <c r="C282" s="184"/>
      <c r="E282" s="185"/>
      <c r="F282" s="185"/>
    </row>
    <row r="283" spans="3:6" ht="12.75">
      <c r="C283" s="184"/>
      <c r="E283" s="185"/>
      <c r="F283" s="185"/>
    </row>
    <row r="284" spans="3:6" ht="12.75">
      <c r="C284" s="184"/>
      <c r="E284" s="185"/>
      <c r="F284" s="185"/>
    </row>
    <row r="285" spans="3:6" ht="12.75">
      <c r="C285" s="184"/>
      <c r="E285" s="185"/>
      <c r="F285" s="185"/>
    </row>
    <row r="286" spans="3:6" ht="12.75">
      <c r="C286" s="184"/>
      <c r="E286" s="185"/>
      <c r="F286" s="185"/>
    </row>
    <row r="287" spans="3:6" ht="12.75">
      <c r="C287" s="184"/>
      <c r="E287" s="185"/>
      <c r="F287" s="185"/>
    </row>
    <row r="288" spans="3:6" ht="12.75">
      <c r="C288" s="184"/>
      <c r="E288" s="185"/>
      <c r="F288" s="185"/>
    </row>
    <row r="289" spans="3:6" ht="12.75">
      <c r="C289" s="184"/>
      <c r="E289" s="185"/>
      <c r="F289" s="185"/>
    </row>
    <row r="290" spans="3:6" ht="12.75">
      <c r="C290" s="184"/>
      <c r="E290" s="185"/>
      <c r="F290" s="185"/>
    </row>
    <row r="291" spans="3:6" ht="12.75">
      <c r="C291" s="184"/>
      <c r="E291" s="185"/>
      <c r="F291" s="185"/>
    </row>
    <row r="292" spans="3:6" ht="12.75">
      <c r="C292" s="184"/>
      <c r="E292" s="185"/>
      <c r="F292" s="185"/>
    </row>
    <row r="293" spans="3:6" ht="12.75">
      <c r="C293" s="184"/>
      <c r="E293" s="185"/>
      <c r="F293" s="185"/>
    </row>
    <row r="294" spans="3:6" ht="12.75">
      <c r="C294" s="184"/>
      <c r="E294" s="185"/>
      <c r="F294" s="185"/>
    </row>
    <row r="295" spans="3:6" ht="12.75">
      <c r="C295" s="184"/>
      <c r="E295" s="185"/>
      <c r="F295" s="185"/>
    </row>
    <row r="296" spans="3:6" ht="12.75">
      <c r="C296" s="184"/>
      <c r="E296" s="185"/>
      <c r="F296" s="185"/>
    </row>
    <row r="297" spans="3:6" ht="12.75">
      <c r="C297" s="184"/>
      <c r="E297" s="185"/>
      <c r="F297" s="185"/>
    </row>
    <row r="298" spans="3:6" ht="12.75">
      <c r="C298" s="184"/>
      <c r="E298" s="185"/>
      <c r="F298" s="185"/>
    </row>
    <row r="299" spans="3:6" ht="12.75">
      <c r="C299" s="184"/>
      <c r="E299" s="185"/>
      <c r="F299" s="185"/>
    </row>
    <row r="300" spans="3:6" ht="12.75">
      <c r="C300" s="184"/>
      <c r="E300" s="185"/>
      <c r="F300" s="185"/>
    </row>
    <row r="301" spans="3:6" ht="12.75">
      <c r="C301" s="184"/>
      <c r="E301" s="185"/>
      <c r="F301" s="185"/>
    </row>
    <row r="302" spans="3:6" ht="12.75">
      <c r="C302" s="184"/>
      <c r="E302" s="185"/>
      <c r="F302" s="185"/>
    </row>
    <row r="303" spans="3:6" ht="12.75">
      <c r="C303" s="184"/>
      <c r="E303" s="185"/>
      <c r="F303" s="185"/>
    </row>
    <row r="304" spans="3:6" ht="12.75">
      <c r="C304" s="184"/>
      <c r="E304" s="185"/>
      <c r="F304" s="185"/>
    </row>
    <row r="305" spans="3:6" ht="12.75">
      <c r="C305" s="184"/>
      <c r="E305" s="185"/>
      <c r="F305" s="185"/>
    </row>
    <row r="306" spans="3:6" ht="12.75">
      <c r="C306" s="184"/>
      <c r="E306" s="185"/>
      <c r="F306" s="185"/>
    </row>
    <row r="307" spans="3:6" ht="12.75">
      <c r="C307" s="184"/>
      <c r="E307" s="185"/>
      <c r="F307" s="185"/>
    </row>
    <row r="308" spans="3:6" ht="12.75">
      <c r="C308" s="184"/>
      <c r="E308" s="185"/>
      <c r="F308" s="185"/>
    </row>
    <row r="309" spans="3:6" ht="12.75">
      <c r="C309" s="184"/>
      <c r="E309" s="185"/>
      <c r="F309" s="185"/>
    </row>
    <row r="310" spans="3:6" ht="12.75">
      <c r="C310" s="184"/>
      <c r="E310" s="185"/>
      <c r="F310" s="185"/>
    </row>
    <row r="311" spans="3:6" ht="12.75">
      <c r="C311" s="184"/>
      <c r="E311" s="185"/>
      <c r="F311" s="185"/>
    </row>
    <row r="312" spans="3:6" ht="12.75">
      <c r="C312" s="184"/>
      <c r="E312" s="185"/>
      <c r="F312" s="185"/>
    </row>
    <row r="313" spans="3:6" ht="12.75">
      <c r="C313" s="184"/>
      <c r="E313" s="185"/>
      <c r="F313" s="185"/>
    </row>
    <row r="314" spans="3:6" ht="12.75">
      <c r="C314" s="184"/>
      <c r="E314" s="185"/>
      <c r="F314" s="185"/>
    </row>
    <row r="315" spans="3:6" ht="12.75">
      <c r="C315" s="184"/>
      <c r="E315" s="185"/>
      <c r="F315" s="185"/>
    </row>
    <row r="316" spans="3:6" ht="12.75">
      <c r="C316" s="184"/>
      <c r="E316" s="185"/>
      <c r="F316" s="185"/>
    </row>
    <row r="317" spans="3:6" ht="12.75">
      <c r="C317" s="184"/>
      <c r="E317" s="185"/>
      <c r="F317" s="185"/>
    </row>
    <row r="318" spans="3:6" ht="12.75">
      <c r="C318" s="184"/>
      <c r="E318" s="185"/>
      <c r="F318" s="185"/>
    </row>
    <row r="319" spans="3:6" ht="12.75">
      <c r="C319" s="184"/>
      <c r="E319" s="185"/>
      <c r="F319" s="185"/>
    </row>
    <row r="320" spans="3:6" ht="12.75">
      <c r="C320" s="184"/>
      <c r="E320" s="185"/>
      <c r="F320" s="185"/>
    </row>
    <row r="321" spans="3:6" ht="12.75">
      <c r="C321" s="184"/>
      <c r="E321" s="185"/>
      <c r="F321" s="185"/>
    </row>
    <row r="322" spans="3:6" ht="12.75">
      <c r="C322" s="184"/>
      <c r="E322" s="185"/>
      <c r="F322" s="185"/>
    </row>
    <row r="323" spans="3:6" ht="12.75">
      <c r="C323" s="184"/>
      <c r="E323" s="185"/>
      <c r="F323" s="185"/>
    </row>
    <row r="324" spans="3:6" ht="12.75">
      <c r="C324" s="184"/>
      <c r="E324" s="185"/>
      <c r="F324" s="185"/>
    </row>
    <row r="325" spans="3:6" ht="12.75">
      <c r="C325" s="184"/>
      <c r="E325" s="185"/>
      <c r="F325" s="185"/>
    </row>
    <row r="326" spans="3:6" ht="12.75">
      <c r="C326" s="184"/>
      <c r="E326" s="185"/>
      <c r="F326" s="185"/>
    </row>
    <row r="327" spans="3:6" ht="12.75">
      <c r="C327" s="184"/>
      <c r="E327" s="185"/>
      <c r="F327" s="185"/>
    </row>
    <row r="328" spans="3:6" ht="12.75">
      <c r="C328" s="184"/>
      <c r="E328" s="185"/>
      <c r="F328" s="185"/>
    </row>
    <row r="329" spans="3:6" ht="12.75">
      <c r="C329" s="184"/>
      <c r="E329" s="185"/>
      <c r="F329" s="185"/>
    </row>
    <row r="330" spans="3:6" ht="12.75">
      <c r="C330" s="184"/>
      <c r="E330" s="185"/>
      <c r="F330" s="185"/>
    </row>
    <row r="331" spans="3:6" ht="12.75">
      <c r="C331" s="184"/>
      <c r="E331" s="185"/>
      <c r="F331" s="185"/>
    </row>
    <row r="332" spans="3:6" ht="12.75">
      <c r="C332" s="184"/>
      <c r="E332" s="185"/>
      <c r="F332" s="185"/>
    </row>
    <row r="333" spans="3:6" ht="12.75">
      <c r="C333" s="184"/>
      <c r="E333" s="185"/>
      <c r="F333" s="185"/>
    </row>
    <row r="334" spans="3:6" ht="12.75">
      <c r="C334" s="184"/>
      <c r="E334" s="185"/>
      <c r="F334" s="185"/>
    </row>
    <row r="335" spans="3:6" ht="12.75">
      <c r="C335" s="184"/>
      <c r="E335" s="185"/>
      <c r="F335" s="185"/>
    </row>
    <row r="336" spans="3:6" ht="12.75">
      <c r="C336" s="184"/>
      <c r="E336" s="185"/>
      <c r="F336" s="185"/>
    </row>
    <row r="337" spans="3:6" ht="12.75">
      <c r="C337" s="184"/>
      <c r="E337" s="185"/>
      <c r="F337" s="185"/>
    </row>
    <row r="338" spans="3:6" ht="12.75">
      <c r="C338" s="184"/>
      <c r="E338" s="185"/>
      <c r="F338" s="185"/>
    </row>
    <row r="339" spans="3:6" ht="12.75">
      <c r="C339" s="184"/>
      <c r="E339" s="185"/>
      <c r="F339" s="185"/>
    </row>
    <row r="340" spans="3:6" ht="12.75">
      <c r="C340" s="184"/>
      <c r="E340" s="185"/>
      <c r="F340" s="185"/>
    </row>
    <row r="341" spans="3:6" ht="12.75">
      <c r="C341" s="184"/>
      <c r="E341" s="185"/>
      <c r="F341" s="185"/>
    </row>
    <row r="342" spans="3:6" ht="12.75">
      <c r="C342" s="184"/>
      <c r="E342" s="185"/>
      <c r="F342" s="185"/>
    </row>
    <row r="343" spans="3:6" ht="12.75">
      <c r="C343" s="184"/>
      <c r="E343" s="185"/>
      <c r="F343" s="185"/>
    </row>
    <row r="344" spans="3:6" ht="12.75">
      <c r="C344" s="184"/>
      <c r="E344" s="185"/>
      <c r="F344" s="185"/>
    </row>
    <row r="345" spans="3:6" ht="12.75">
      <c r="C345" s="184"/>
      <c r="E345" s="185"/>
      <c r="F345" s="185"/>
    </row>
    <row r="346" spans="3:6" ht="12.75">
      <c r="C346" s="184"/>
      <c r="E346" s="185"/>
      <c r="F346" s="185"/>
    </row>
    <row r="347" spans="3:6" ht="12.75">
      <c r="C347" s="184"/>
      <c r="E347" s="185"/>
      <c r="F347" s="185"/>
    </row>
    <row r="348" spans="3:6" ht="12.75">
      <c r="C348" s="184"/>
      <c r="E348" s="185"/>
      <c r="F348" s="185"/>
    </row>
    <row r="349" spans="3:6" ht="12.75">
      <c r="C349" s="184"/>
      <c r="E349" s="185"/>
      <c r="F349" s="185"/>
    </row>
    <row r="350" spans="3:6" ht="12.75">
      <c r="C350" s="184"/>
      <c r="E350" s="185"/>
      <c r="F350" s="185"/>
    </row>
    <row r="351" spans="3:6" ht="12.75">
      <c r="C351" s="184"/>
      <c r="E351" s="185"/>
      <c r="F351" s="185"/>
    </row>
    <row r="352" spans="3:6" ht="12.75">
      <c r="C352" s="184"/>
      <c r="E352" s="185"/>
      <c r="F352" s="185"/>
    </row>
    <row r="353" spans="3:6" ht="12.75">
      <c r="C353" s="184"/>
      <c r="E353" s="185"/>
      <c r="F353" s="185"/>
    </row>
    <row r="354" spans="3:6" ht="12.75">
      <c r="C354" s="184"/>
      <c r="E354" s="185"/>
      <c r="F354" s="185"/>
    </row>
    <row r="355" spans="3:6" ht="12.75">
      <c r="C355" s="184"/>
      <c r="E355" s="185"/>
      <c r="F355" s="185"/>
    </row>
    <row r="356" spans="3:6" ht="12.75">
      <c r="C356" s="184"/>
      <c r="E356" s="185"/>
      <c r="F356" s="185"/>
    </row>
    <row r="357" spans="3:6" ht="12.75">
      <c r="C357" s="184"/>
      <c r="E357" s="185"/>
      <c r="F357" s="185"/>
    </row>
    <row r="358" spans="3:6" ht="12.75">
      <c r="C358" s="184"/>
      <c r="E358" s="185"/>
      <c r="F358" s="185"/>
    </row>
    <row r="359" spans="3:6" ht="12.75">
      <c r="C359" s="184"/>
      <c r="E359" s="185"/>
      <c r="F359" s="185"/>
    </row>
    <row r="360" spans="3:6" ht="12.75">
      <c r="C360" s="184"/>
      <c r="E360" s="185"/>
      <c r="F360" s="185"/>
    </row>
    <row r="361" spans="3:6" ht="12.75">
      <c r="C361" s="184"/>
      <c r="E361" s="185"/>
      <c r="F361" s="185"/>
    </row>
    <row r="362" spans="3:6" ht="12.75">
      <c r="C362" s="184"/>
      <c r="E362" s="185"/>
      <c r="F362" s="185"/>
    </row>
    <row r="363" spans="3:6" ht="12.75">
      <c r="C363" s="184"/>
      <c r="E363" s="185"/>
      <c r="F363" s="185"/>
    </row>
    <row r="364" spans="3:6" ht="12.75">
      <c r="C364" s="184"/>
      <c r="E364" s="185"/>
      <c r="F364" s="185"/>
    </row>
    <row r="365" spans="3:6" ht="12.75">
      <c r="C365" s="184"/>
      <c r="E365" s="185"/>
      <c r="F365" s="185"/>
    </row>
    <row r="366" spans="3:6" ht="12.75">
      <c r="C366" s="184"/>
      <c r="E366" s="185"/>
      <c r="F366" s="185"/>
    </row>
    <row r="367" spans="3:6" ht="12.75">
      <c r="C367" s="184"/>
      <c r="E367" s="185"/>
      <c r="F367" s="185"/>
    </row>
    <row r="368" spans="3:6" ht="12.75">
      <c r="C368" s="184"/>
      <c r="E368" s="185"/>
      <c r="F368" s="185"/>
    </row>
    <row r="369" spans="3:6" ht="12.75">
      <c r="C369" s="184"/>
      <c r="E369" s="185"/>
      <c r="F369" s="185"/>
    </row>
    <row r="370" spans="3:6" ht="12.75">
      <c r="C370" s="184"/>
      <c r="E370" s="185"/>
      <c r="F370" s="185"/>
    </row>
    <row r="371" spans="3:6" ht="12.75">
      <c r="C371" s="184"/>
      <c r="E371" s="185"/>
      <c r="F371" s="185"/>
    </row>
    <row r="372" spans="3:6" ht="12.75">
      <c r="C372" s="184"/>
      <c r="E372" s="185"/>
      <c r="F372" s="185"/>
    </row>
    <row r="373" spans="3:6" ht="12.75">
      <c r="C373" s="184"/>
      <c r="E373" s="185"/>
      <c r="F373" s="185"/>
    </row>
    <row r="374" spans="3:6" ht="12.75">
      <c r="C374" s="184"/>
      <c r="E374" s="185"/>
      <c r="F374" s="185"/>
    </row>
    <row r="375" spans="3:6" ht="12.75">
      <c r="C375" s="184"/>
      <c r="E375" s="185"/>
      <c r="F375" s="185"/>
    </row>
    <row r="376" spans="3:6" ht="12.75">
      <c r="C376" s="184"/>
      <c r="E376" s="185"/>
      <c r="F376" s="185"/>
    </row>
    <row r="377" spans="3:6" ht="12.75">
      <c r="C377" s="184"/>
      <c r="E377" s="185"/>
      <c r="F377" s="185"/>
    </row>
    <row r="378" spans="3:6" ht="12.75">
      <c r="C378" s="184"/>
      <c r="E378" s="185"/>
      <c r="F378" s="185"/>
    </row>
    <row r="379" spans="3:6" ht="12.75">
      <c r="C379" s="184"/>
      <c r="E379" s="185"/>
      <c r="F379" s="185"/>
    </row>
    <row r="380" spans="3:6" ht="12.75">
      <c r="C380" s="184"/>
      <c r="E380" s="185"/>
      <c r="F380" s="185"/>
    </row>
    <row r="381" spans="3:6" ht="12.75">
      <c r="C381" s="184"/>
      <c r="E381" s="185"/>
      <c r="F381" s="185"/>
    </row>
    <row r="382" spans="3:6" ht="12.75">
      <c r="C382" s="184"/>
      <c r="E382" s="185"/>
      <c r="F382" s="185"/>
    </row>
    <row r="383" spans="3:6" ht="12.75">
      <c r="C383" s="184"/>
      <c r="E383" s="185"/>
      <c r="F383" s="185"/>
    </row>
    <row r="384" spans="3:6" ht="12.75">
      <c r="C384" s="184"/>
      <c r="E384" s="185"/>
      <c r="F384" s="185"/>
    </row>
    <row r="385" spans="3:6" ht="12.75">
      <c r="C385" s="184"/>
      <c r="E385" s="185"/>
      <c r="F385" s="185"/>
    </row>
    <row r="386" spans="3:6" ht="12.75">
      <c r="C386" s="184"/>
      <c r="E386" s="185"/>
      <c r="F386" s="185"/>
    </row>
    <row r="387" spans="3:6" ht="12.75">
      <c r="C387" s="184"/>
      <c r="E387" s="185"/>
      <c r="F387" s="185"/>
    </row>
    <row r="388" spans="3:6" ht="12.75">
      <c r="C388" s="184"/>
      <c r="E388" s="185"/>
      <c r="F388" s="185"/>
    </row>
    <row r="389" spans="3:6" ht="12.75">
      <c r="C389" s="184"/>
      <c r="E389" s="185"/>
      <c r="F389" s="185"/>
    </row>
    <row r="390" spans="3:6" ht="12.75">
      <c r="C390" s="184"/>
      <c r="E390" s="185"/>
      <c r="F390" s="185"/>
    </row>
    <row r="391" spans="3:6" ht="12.75">
      <c r="C391" s="184"/>
      <c r="E391" s="185"/>
      <c r="F391" s="185"/>
    </row>
    <row r="392" spans="3:6" ht="12.75">
      <c r="C392" s="184"/>
      <c r="E392" s="185"/>
      <c r="F392" s="185"/>
    </row>
    <row r="393" spans="3:6" ht="12.75">
      <c r="C393" s="184"/>
      <c r="E393" s="185"/>
      <c r="F393" s="185"/>
    </row>
    <row r="394" spans="3:6" ht="12.75">
      <c r="C394" s="184"/>
      <c r="E394" s="185"/>
      <c r="F394" s="185"/>
    </row>
    <row r="395" spans="3:6" ht="12.75">
      <c r="C395" s="184"/>
      <c r="E395" s="185"/>
      <c r="F395" s="185"/>
    </row>
    <row r="396" spans="3:6" ht="12.75">
      <c r="C396" s="184"/>
      <c r="E396" s="185"/>
      <c r="F396" s="185"/>
    </row>
    <row r="397" spans="3:6" ht="12.75">
      <c r="C397" s="184"/>
      <c r="E397" s="185"/>
      <c r="F397" s="185"/>
    </row>
    <row r="398" spans="3:6" ht="12.75">
      <c r="C398" s="184"/>
      <c r="E398" s="185"/>
      <c r="F398" s="185"/>
    </row>
    <row r="399" spans="3:6" ht="12.75">
      <c r="C399" s="184"/>
      <c r="E399" s="185"/>
      <c r="F399" s="185"/>
    </row>
    <row r="400" spans="3:6" ht="12.75">
      <c r="C400" s="184"/>
      <c r="E400" s="185"/>
      <c r="F400" s="185"/>
    </row>
    <row r="401" spans="3:6" ht="12.75">
      <c r="C401" s="184"/>
      <c r="E401" s="185"/>
      <c r="F401" s="185"/>
    </row>
    <row r="402" spans="3:6" ht="12.75">
      <c r="C402" s="184"/>
      <c r="E402" s="185"/>
      <c r="F402" s="185"/>
    </row>
    <row r="403" spans="3:6" ht="12.75">
      <c r="C403" s="184"/>
      <c r="E403" s="185"/>
      <c r="F403" s="185"/>
    </row>
    <row r="404" spans="3:6" ht="12.75">
      <c r="C404" s="184"/>
      <c r="E404" s="185"/>
      <c r="F404" s="185"/>
    </row>
    <row r="405" spans="3:6" ht="12.75">
      <c r="C405" s="184"/>
      <c r="E405" s="185"/>
      <c r="F405" s="185"/>
    </row>
    <row r="406" spans="3:6" ht="12.75">
      <c r="C406" s="184"/>
      <c r="E406" s="185"/>
      <c r="F406" s="185"/>
    </row>
    <row r="407" spans="3:6" ht="12.75">
      <c r="C407" s="184"/>
      <c r="E407" s="185"/>
      <c r="F407" s="185"/>
    </row>
    <row r="408" spans="3:6" ht="12.75">
      <c r="C408" s="184"/>
      <c r="E408" s="185"/>
      <c r="F408" s="185"/>
    </row>
    <row r="409" spans="3:6" ht="12.75">
      <c r="C409" s="184"/>
      <c r="E409" s="185"/>
      <c r="F409" s="185"/>
    </row>
    <row r="410" spans="3:6" ht="12.75">
      <c r="C410" s="184"/>
      <c r="E410" s="185"/>
      <c r="F410" s="185"/>
    </row>
    <row r="411" spans="3:6" ht="12.75">
      <c r="C411" s="184"/>
      <c r="E411" s="185"/>
      <c r="F411" s="185"/>
    </row>
    <row r="412" spans="3:6" ht="12.75">
      <c r="C412" s="184"/>
      <c r="E412" s="185"/>
      <c r="F412" s="185"/>
    </row>
    <row r="413" spans="3:6" ht="12.75">
      <c r="C413" s="184"/>
      <c r="E413" s="185"/>
      <c r="F413" s="185"/>
    </row>
    <row r="414" spans="3:6" ht="12.75">
      <c r="C414" s="184"/>
      <c r="E414" s="185"/>
      <c r="F414" s="185"/>
    </row>
    <row r="415" spans="3:6" ht="12.75">
      <c r="C415" s="184"/>
      <c r="E415" s="185"/>
      <c r="F415" s="185"/>
    </row>
    <row r="416" spans="3:6" ht="12.75">
      <c r="C416" s="184"/>
      <c r="E416" s="185"/>
      <c r="F416" s="185"/>
    </row>
    <row r="417" spans="3:6" ht="12.75">
      <c r="C417" s="184"/>
      <c r="E417" s="185"/>
      <c r="F417" s="185"/>
    </row>
    <row r="418" spans="3:6" ht="12.75">
      <c r="C418" s="184"/>
      <c r="E418" s="185"/>
      <c r="F418" s="185"/>
    </row>
    <row r="419" spans="3:6" ht="12.75">
      <c r="C419" s="184"/>
      <c r="E419" s="185"/>
      <c r="F419" s="185"/>
    </row>
    <row r="420" spans="3:6" ht="12.75">
      <c r="C420" s="184"/>
      <c r="E420" s="185"/>
      <c r="F420" s="185"/>
    </row>
    <row r="421" spans="3:6" ht="12.75">
      <c r="C421" s="184"/>
      <c r="E421" s="185"/>
      <c r="F421" s="185"/>
    </row>
    <row r="422" spans="3:6" ht="12.75">
      <c r="C422" s="184"/>
      <c r="E422" s="185"/>
      <c r="F422" s="185"/>
    </row>
    <row r="423" spans="3:6" ht="12.75">
      <c r="C423" s="184"/>
      <c r="E423" s="185"/>
      <c r="F423" s="185"/>
    </row>
    <row r="424" spans="3:6" ht="12.75">
      <c r="C424" s="184"/>
      <c r="E424" s="185"/>
      <c r="F424" s="185"/>
    </row>
    <row r="425" spans="3:6" ht="12.75">
      <c r="C425" s="184"/>
      <c r="E425" s="185"/>
      <c r="F425" s="185"/>
    </row>
    <row r="426" spans="3:6" ht="12.75">
      <c r="C426" s="184"/>
      <c r="E426" s="185"/>
      <c r="F426" s="185"/>
    </row>
    <row r="427" spans="3:6" ht="12.75">
      <c r="C427" s="184"/>
      <c r="E427" s="185"/>
      <c r="F427" s="185"/>
    </row>
    <row r="428" spans="3:6" ht="12.75">
      <c r="C428" s="184"/>
      <c r="E428" s="185"/>
      <c r="F428" s="185"/>
    </row>
    <row r="429" spans="3:6" ht="12.75">
      <c r="C429" s="184"/>
      <c r="E429" s="185"/>
      <c r="F429" s="185"/>
    </row>
    <row r="430" spans="3:6" ht="12.75">
      <c r="C430" s="184"/>
      <c r="E430" s="185"/>
      <c r="F430" s="185"/>
    </row>
    <row r="431" spans="3:6" ht="12.75">
      <c r="C431" s="184"/>
      <c r="E431" s="185"/>
      <c r="F431" s="185"/>
    </row>
    <row r="432" spans="3:6" ht="12.75">
      <c r="C432" s="184"/>
      <c r="E432" s="185"/>
      <c r="F432" s="185"/>
    </row>
    <row r="433" spans="3:6" ht="12.75">
      <c r="C433" s="184"/>
      <c r="E433" s="185"/>
      <c r="F433" s="185"/>
    </row>
    <row r="434" spans="3:6" ht="12.75">
      <c r="C434" s="184"/>
      <c r="E434" s="185"/>
      <c r="F434" s="185"/>
    </row>
    <row r="435" spans="3:6" ht="12.75">
      <c r="C435" s="184"/>
      <c r="E435" s="185"/>
      <c r="F435" s="185"/>
    </row>
    <row r="436" spans="3:6" ht="12.75">
      <c r="C436" s="184"/>
      <c r="E436" s="185"/>
      <c r="F436" s="185"/>
    </row>
    <row r="437" spans="3:6" ht="12.75">
      <c r="C437" s="184"/>
      <c r="E437" s="185"/>
      <c r="F437" s="185"/>
    </row>
    <row r="438" spans="3:6" ht="12.75">
      <c r="C438" s="184"/>
      <c r="E438" s="185"/>
      <c r="F438" s="185"/>
    </row>
    <row r="439" spans="3:6" ht="12.75">
      <c r="C439" s="184"/>
      <c r="E439" s="185"/>
      <c r="F439" s="185"/>
    </row>
    <row r="440" spans="3:6" ht="12.75">
      <c r="C440" s="184"/>
      <c r="E440" s="185"/>
      <c r="F440" s="185"/>
    </row>
    <row r="441" spans="3:6" ht="12.75">
      <c r="C441" s="184"/>
      <c r="E441" s="185"/>
      <c r="F441" s="185"/>
    </row>
    <row r="442" spans="3:6" ht="12.75">
      <c r="C442" s="184"/>
      <c r="E442" s="185"/>
      <c r="F442" s="185"/>
    </row>
    <row r="443" spans="3:6" ht="12.75">
      <c r="C443" s="184"/>
      <c r="E443" s="185"/>
      <c r="F443" s="185"/>
    </row>
    <row r="444" spans="3:6" ht="12.75">
      <c r="C444" s="184"/>
      <c r="E444" s="185"/>
      <c r="F444" s="185"/>
    </row>
    <row r="445" spans="3:6" ht="12.75">
      <c r="C445" s="184"/>
      <c r="E445" s="185"/>
      <c r="F445" s="185"/>
    </row>
    <row r="446" spans="3:6" ht="12.75">
      <c r="C446" s="184"/>
      <c r="E446" s="185"/>
      <c r="F446" s="185"/>
    </row>
    <row r="447" spans="3:6" ht="12.75">
      <c r="C447" s="184"/>
      <c r="E447" s="185"/>
      <c r="F447" s="185"/>
    </row>
    <row r="448" spans="3:6" ht="12.75">
      <c r="C448" s="184"/>
      <c r="E448" s="185"/>
      <c r="F448" s="185"/>
    </row>
    <row r="449" spans="3:6" ht="12.75">
      <c r="C449" s="184"/>
      <c r="E449" s="185"/>
      <c r="F449" s="185"/>
    </row>
    <row r="450" spans="3:6" ht="12.75">
      <c r="C450" s="184"/>
      <c r="E450" s="185"/>
      <c r="F450" s="185"/>
    </row>
    <row r="451" spans="3:6" ht="12.75">
      <c r="C451" s="184"/>
      <c r="E451" s="185"/>
      <c r="F451" s="185"/>
    </row>
    <row r="452" spans="3:6" ht="12.75">
      <c r="C452" s="184"/>
      <c r="E452" s="185"/>
      <c r="F452" s="185"/>
    </row>
    <row r="453" spans="3:6" ht="12.75">
      <c r="C453" s="184"/>
      <c r="E453" s="185"/>
      <c r="F453" s="185"/>
    </row>
    <row r="454" spans="3:6" ht="12.75">
      <c r="C454" s="184"/>
      <c r="E454" s="185"/>
      <c r="F454" s="185"/>
    </row>
    <row r="455" spans="3:6" ht="12.75">
      <c r="C455" s="184"/>
      <c r="E455" s="185"/>
      <c r="F455" s="185"/>
    </row>
    <row r="456" spans="3:6" ht="12.75">
      <c r="C456" s="184"/>
      <c r="E456" s="185"/>
      <c r="F456" s="185"/>
    </row>
    <row r="457" spans="3:6" ht="12.75">
      <c r="C457" s="184"/>
      <c r="E457" s="185"/>
      <c r="F457" s="185"/>
    </row>
    <row r="458" spans="3:6" ht="12.75">
      <c r="C458" s="184"/>
      <c r="E458" s="185"/>
      <c r="F458" s="185"/>
    </row>
    <row r="459" spans="3:6" ht="12.75">
      <c r="C459" s="184"/>
      <c r="E459" s="185"/>
      <c r="F459" s="185"/>
    </row>
    <row r="460" spans="3:6" ht="12.75">
      <c r="C460" s="184"/>
      <c r="E460" s="185"/>
      <c r="F460" s="185"/>
    </row>
    <row r="461" spans="3:6" ht="12.75">
      <c r="C461" s="184"/>
      <c r="E461" s="185"/>
      <c r="F461" s="185"/>
    </row>
    <row r="462" spans="3:6" ht="12.75">
      <c r="C462" s="184"/>
      <c r="E462" s="185"/>
      <c r="F462" s="185"/>
    </row>
    <row r="463" spans="3:6" ht="12.75">
      <c r="C463" s="184"/>
      <c r="E463" s="185"/>
      <c r="F463" s="185"/>
    </row>
    <row r="464" spans="3:6" ht="12.75">
      <c r="C464" s="184"/>
      <c r="E464" s="185"/>
      <c r="F464" s="185"/>
    </row>
    <row r="465" spans="3:6" ht="12.75">
      <c r="C465" s="184"/>
      <c r="E465" s="185"/>
      <c r="F465" s="185"/>
    </row>
    <row r="466" spans="3:6" ht="12.75">
      <c r="C466" s="184"/>
      <c r="E466" s="185"/>
      <c r="F466" s="185"/>
    </row>
    <row r="467" spans="3:6" ht="12.75">
      <c r="C467" s="184"/>
      <c r="E467" s="185"/>
      <c r="F467" s="185"/>
    </row>
    <row r="468" spans="3:6" ht="12.75">
      <c r="C468" s="184"/>
      <c r="E468" s="185"/>
      <c r="F468" s="185"/>
    </row>
    <row r="469" spans="3:6" ht="12.75">
      <c r="C469" s="184"/>
      <c r="E469" s="185"/>
      <c r="F469" s="185"/>
    </row>
    <row r="470" spans="3:6" ht="12.75">
      <c r="C470" s="184"/>
      <c r="E470" s="185"/>
      <c r="F470" s="185"/>
    </row>
    <row r="471" spans="3:6" ht="12.75">
      <c r="C471" s="184"/>
      <c r="E471" s="185"/>
      <c r="F471" s="185"/>
    </row>
    <row r="472" spans="3:6" ht="12.75">
      <c r="C472" s="184"/>
      <c r="E472" s="185"/>
      <c r="F472" s="185"/>
    </row>
    <row r="473" spans="3:6" ht="12.75">
      <c r="C473" s="184"/>
      <c r="E473" s="185"/>
      <c r="F473" s="185"/>
    </row>
    <row r="474" spans="3:6" ht="12.75">
      <c r="C474" s="184"/>
      <c r="E474" s="185"/>
      <c r="F474" s="185"/>
    </row>
    <row r="475" spans="3:6" ht="12.75">
      <c r="C475" s="184"/>
      <c r="E475" s="185"/>
      <c r="F475" s="185"/>
    </row>
    <row r="476" spans="3:6" ht="12.75">
      <c r="C476" s="184"/>
      <c r="E476" s="185"/>
      <c r="F476" s="185"/>
    </row>
    <row r="477" spans="3:6" ht="12.75">
      <c r="C477" s="184"/>
      <c r="E477" s="185"/>
      <c r="F477" s="185"/>
    </row>
    <row r="478" spans="3:6" ht="12.75">
      <c r="C478" s="184"/>
      <c r="E478" s="185"/>
      <c r="F478" s="185"/>
    </row>
    <row r="479" spans="3:6" ht="12.75">
      <c r="C479" s="184"/>
      <c r="E479" s="185"/>
      <c r="F479" s="185"/>
    </row>
    <row r="480" spans="3:6" ht="12.75">
      <c r="C480" s="184"/>
      <c r="E480" s="185"/>
      <c r="F480" s="185"/>
    </row>
    <row r="481" spans="3:6" ht="12.75">
      <c r="C481" s="184"/>
      <c r="E481" s="185"/>
      <c r="F481" s="185"/>
    </row>
    <row r="482" spans="3:6" ht="12.75">
      <c r="C482" s="184"/>
      <c r="E482" s="185"/>
      <c r="F482" s="185"/>
    </row>
    <row r="483" spans="3:6" ht="12.75">
      <c r="C483" s="184"/>
      <c r="E483" s="185"/>
      <c r="F483" s="185"/>
    </row>
    <row r="484" spans="3:6" ht="12.75">
      <c r="C484" s="184"/>
      <c r="E484" s="185"/>
      <c r="F484" s="185"/>
    </row>
    <row r="485" spans="3:6" ht="12.75">
      <c r="C485" s="184"/>
      <c r="E485" s="185"/>
      <c r="F485" s="185"/>
    </row>
    <row r="486" spans="3:6" ht="12.75">
      <c r="C486" s="184"/>
      <c r="E486" s="185"/>
      <c r="F486" s="185"/>
    </row>
    <row r="487" spans="3:6" ht="12.75">
      <c r="C487" s="184"/>
      <c r="E487" s="185"/>
      <c r="F487" s="185"/>
    </row>
    <row r="488" spans="3:6" ht="12.75">
      <c r="C488" s="184"/>
      <c r="E488" s="185"/>
      <c r="F488" s="185"/>
    </row>
    <row r="489" spans="3:6" ht="12.75">
      <c r="C489" s="184"/>
      <c r="E489" s="185"/>
      <c r="F489" s="185"/>
    </row>
    <row r="490" spans="3:6" ht="12.75">
      <c r="C490" s="184"/>
      <c r="E490" s="185"/>
      <c r="F490" s="185"/>
    </row>
    <row r="491" spans="3:6" ht="12.75">
      <c r="C491" s="184"/>
      <c r="E491" s="185"/>
      <c r="F491" s="185"/>
    </row>
    <row r="492" spans="3:6" ht="12.75">
      <c r="C492" s="184"/>
      <c r="E492" s="185"/>
      <c r="F492" s="185"/>
    </row>
    <row r="493" spans="3:6" ht="12.75">
      <c r="C493" s="184"/>
      <c r="E493" s="185"/>
      <c r="F493" s="185"/>
    </row>
    <row r="494" spans="3:6" ht="12.75">
      <c r="C494" s="184"/>
      <c r="E494" s="185"/>
      <c r="F494" s="185"/>
    </row>
    <row r="495" spans="3:6" ht="12.75">
      <c r="C495" s="184"/>
      <c r="E495" s="185"/>
      <c r="F495" s="185"/>
    </row>
    <row r="496" spans="3:6" ht="12.75">
      <c r="C496" s="184"/>
      <c r="E496" s="185"/>
      <c r="F496" s="185"/>
    </row>
    <row r="497" spans="3:6" ht="12.75">
      <c r="C497" s="184"/>
      <c r="E497" s="185"/>
      <c r="F497" s="185"/>
    </row>
    <row r="498" spans="3:6" ht="12.75">
      <c r="C498" s="184"/>
      <c r="E498" s="185"/>
      <c r="F498" s="185"/>
    </row>
    <row r="499" spans="3:6" ht="12.75">
      <c r="C499" s="184"/>
      <c r="E499" s="185"/>
      <c r="F499" s="185"/>
    </row>
    <row r="500" spans="3:6" ht="12.75">
      <c r="C500" s="184"/>
      <c r="E500" s="185"/>
      <c r="F500" s="185"/>
    </row>
    <row r="501" spans="3:6" ht="12.75">
      <c r="C501" s="184"/>
      <c r="E501" s="185"/>
      <c r="F501" s="185"/>
    </row>
    <row r="502" spans="3:6" ht="12.75">
      <c r="C502" s="184"/>
      <c r="E502" s="185"/>
      <c r="F502" s="185"/>
    </row>
    <row r="503" spans="3:6" ht="12.75">
      <c r="C503" s="184"/>
      <c r="E503" s="185"/>
      <c r="F503" s="185"/>
    </row>
    <row r="504" spans="3:6" ht="12.75">
      <c r="C504" s="184"/>
      <c r="E504" s="185"/>
      <c r="F504" s="185"/>
    </row>
    <row r="505" spans="3:6" ht="12.75">
      <c r="C505" s="184"/>
      <c r="E505" s="185"/>
      <c r="F505" s="185"/>
    </row>
    <row r="506" spans="3:6" ht="12.75">
      <c r="C506" s="184"/>
      <c r="E506" s="185"/>
      <c r="F506" s="185"/>
    </row>
    <row r="507" spans="3:6" ht="12.75">
      <c r="C507" s="184"/>
      <c r="E507" s="185"/>
      <c r="F507" s="185"/>
    </row>
    <row r="508" spans="3:6" ht="12.75">
      <c r="C508" s="184"/>
      <c r="E508" s="185"/>
      <c r="F508" s="185"/>
    </row>
    <row r="509" spans="3:6" ht="12.75">
      <c r="C509" s="184"/>
      <c r="E509" s="185"/>
      <c r="F509" s="185"/>
    </row>
    <row r="510" spans="3:6" ht="12.75">
      <c r="C510" s="184"/>
      <c r="E510" s="185"/>
      <c r="F510" s="185"/>
    </row>
    <row r="511" spans="3:6" ht="12.75">
      <c r="C511" s="184"/>
      <c r="E511" s="185"/>
      <c r="F511" s="185"/>
    </row>
    <row r="512" spans="3:6" ht="12.75">
      <c r="C512" s="184"/>
      <c r="E512" s="185"/>
      <c r="F512" s="185"/>
    </row>
    <row r="513" spans="3:6" ht="12.75">
      <c r="C513" s="184"/>
      <c r="E513" s="185"/>
      <c r="F513" s="185"/>
    </row>
    <row r="514" spans="3:6" ht="12.75">
      <c r="C514" s="184"/>
      <c r="E514" s="185"/>
      <c r="F514" s="185"/>
    </row>
    <row r="515" spans="3:6" ht="12.75">
      <c r="C515" s="184"/>
      <c r="E515" s="185"/>
      <c r="F515" s="185"/>
    </row>
    <row r="516" spans="3:6" ht="12.75">
      <c r="C516" s="184"/>
      <c r="E516" s="185"/>
      <c r="F516" s="185"/>
    </row>
    <row r="517" spans="3:6" ht="12.75">
      <c r="C517" s="184"/>
      <c r="E517" s="185"/>
      <c r="F517" s="185"/>
    </row>
    <row r="518" spans="3:6" ht="12.75">
      <c r="C518" s="184"/>
      <c r="E518" s="185"/>
      <c r="F518" s="185"/>
    </row>
    <row r="519" spans="3:6" ht="12.75">
      <c r="C519" s="184"/>
      <c r="E519" s="185"/>
      <c r="F519" s="185"/>
    </row>
    <row r="520" spans="3:6" ht="12.75">
      <c r="C520" s="184"/>
      <c r="E520" s="185"/>
      <c r="F520" s="185"/>
    </row>
    <row r="521" spans="3:6" ht="12.75">
      <c r="C521" s="184"/>
      <c r="E521" s="185"/>
      <c r="F521" s="185"/>
    </row>
    <row r="522" spans="3:6" ht="12.75">
      <c r="C522" s="184"/>
      <c r="E522" s="185"/>
      <c r="F522" s="185"/>
    </row>
    <row r="523" spans="3:6" ht="12.75">
      <c r="C523" s="184"/>
      <c r="E523" s="185"/>
      <c r="F523" s="185"/>
    </row>
    <row r="524" spans="3:6" ht="12.75">
      <c r="C524" s="184"/>
      <c r="E524" s="185"/>
      <c r="F524" s="185"/>
    </row>
    <row r="525" spans="3:6" ht="12.75">
      <c r="C525" s="184"/>
      <c r="E525" s="185"/>
      <c r="F525" s="185"/>
    </row>
    <row r="526" spans="3:6" ht="12.75">
      <c r="C526" s="184"/>
      <c r="E526" s="185"/>
      <c r="F526" s="185"/>
    </row>
    <row r="527" spans="3:6" ht="12.75">
      <c r="C527" s="184"/>
      <c r="E527" s="185"/>
      <c r="F527" s="185"/>
    </row>
    <row r="528" spans="3:6" ht="12.75">
      <c r="C528" s="184"/>
      <c r="E528" s="185"/>
      <c r="F528" s="185"/>
    </row>
    <row r="529" spans="3:6" ht="12.75">
      <c r="C529" s="184"/>
      <c r="E529" s="185"/>
      <c r="F529" s="185"/>
    </row>
    <row r="530" spans="3:6" ht="12.75">
      <c r="C530" s="184"/>
      <c r="E530" s="185"/>
      <c r="F530" s="185"/>
    </row>
    <row r="531" spans="3:6" ht="12.75">
      <c r="C531" s="184"/>
      <c r="E531" s="185"/>
      <c r="F531" s="185"/>
    </row>
    <row r="532" spans="3:6" ht="12.75">
      <c r="C532" s="184"/>
      <c r="E532" s="185"/>
      <c r="F532" s="185"/>
    </row>
    <row r="533" spans="3:6" ht="12.75">
      <c r="C533" s="184"/>
      <c r="E533" s="185"/>
      <c r="F533" s="185"/>
    </row>
    <row r="534" spans="3:6" ht="12.75">
      <c r="C534" s="184"/>
      <c r="E534" s="185"/>
      <c r="F534" s="185"/>
    </row>
    <row r="535" spans="3:6" ht="12.75">
      <c r="C535" s="184"/>
      <c r="E535" s="185"/>
      <c r="F535" s="185"/>
    </row>
    <row r="536" spans="3:6" ht="12.75">
      <c r="C536" s="184"/>
      <c r="E536" s="185"/>
      <c r="F536" s="185"/>
    </row>
    <row r="537" spans="3:6" ht="12.75">
      <c r="C537" s="184"/>
      <c r="E537" s="185"/>
      <c r="F537" s="185"/>
    </row>
    <row r="538" spans="3:6" ht="12.75">
      <c r="C538" s="184"/>
      <c r="E538" s="185"/>
      <c r="F538" s="185"/>
    </row>
    <row r="539" spans="3:6" ht="12.75">
      <c r="C539" s="184"/>
      <c r="E539" s="185"/>
      <c r="F539" s="185"/>
    </row>
    <row r="540" spans="3:6" ht="12.75">
      <c r="C540" s="184"/>
      <c r="E540" s="185"/>
      <c r="F540" s="185"/>
    </row>
    <row r="541" spans="3:6" ht="12.75">
      <c r="C541" s="184"/>
      <c r="E541" s="185"/>
      <c r="F541" s="185"/>
    </row>
    <row r="542" spans="3:6" ht="12.75">
      <c r="C542" s="184"/>
      <c r="E542" s="185"/>
      <c r="F542" s="185"/>
    </row>
    <row r="543" spans="3:6" ht="12.75">
      <c r="C543" s="184"/>
      <c r="E543" s="185"/>
      <c r="F543" s="185"/>
    </row>
    <row r="544" spans="3:6" ht="12.75">
      <c r="C544" s="184"/>
      <c r="E544" s="185"/>
      <c r="F544" s="185"/>
    </row>
    <row r="545" spans="3:6" ht="12.75">
      <c r="C545" s="184"/>
      <c r="E545" s="185"/>
      <c r="F545" s="185"/>
    </row>
    <row r="546" spans="3:6" ht="12.75">
      <c r="C546" s="184"/>
      <c r="E546" s="185"/>
      <c r="F546" s="185"/>
    </row>
    <row r="547" spans="3:6" ht="12.75">
      <c r="C547" s="184"/>
      <c r="E547" s="185"/>
      <c r="F547" s="185"/>
    </row>
    <row r="548" spans="3:6" ht="12.75">
      <c r="C548" s="184"/>
      <c r="E548" s="185"/>
      <c r="F548" s="185"/>
    </row>
    <row r="549" spans="3:6" ht="12.75">
      <c r="C549" s="184"/>
      <c r="E549" s="185"/>
      <c r="F549" s="185"/>
    </row>
    <row r="550" spans="3:6" ht="12.75">
      <c r="C550" s="184"/>
      <c r="E550" s="185"/>
      <c r="F550" s="185"/>
    </row>
    <row r="551" spans="3:6" ht="12.75">
      <c r="C551" s="184"/>
      <c r="E551" s="185"/>
      <c r="F551" s="185"/>
    </row>
    <row r="552" spans="3:6" ht="12.75">
      <c r="C552" s="184"/>
      <c r="E552" s="185"/>
      <c r="F552" s="185"/>
    </row>
    <row r="553" spans="3:6" ht="12.75">
      <c r="C553" s="184"/>
      <c r="E553" s="185"/>
      <c r="F553" s="185"/>
    </row>
    <row r="554" spans="3:6" ht="12.75">
      <c r="C554" s="184"/>
      <c r="E554" s="185"/>
      <c r="F554" s="185"/>
    </row>
    <row r="555" spans="3:6" ht="12.75">
      <c r="C555" s="184"/>
      <c r="E555" s="185"/>
      <c r="F555" s="185"/>
    </row>
    <row r="556" spans="3:6" ht="12.75">
      <c r="C556" s="184"/>
      <c r="E556" s="185"/>
      <c r="F556" s="185"/>
    </row>
    <row r="557" spans="3:6" ht="12.75">
      <c r="C557" s="184"/>
      <c r="E557" s="185"/>
      <c r="F557" s="185"/>
    </row>
    <row r="558" spans="3:6" ht="12.75">
      <c r="C558" s="184"/>
      <c r="E558" s="185"/>
      <c r="F558" s="185"/>
    </row>
    <row r="559" spans="3:6" ht="12.75">
      <c r="C559" s="184"/>
      <c r="E559" s="185"/>
      <c r="F559" s="185"/>
    </row>
    <row r="560" spans="3:6" ht="12.75">
      <c r="C560" s="184"/>
      <c r="E560" s="185"/>
      <c r="F560" s="185"/>
    </row>
    <row r="561" spans="3:6" ht="12.75">
      <c r="C561" s="184"/>
      <c r="E561" s="185"/>
      <c r="F561" s="185"/>
    </row>
    <row r="562" spans="3:6" ht="12.75">
      <c r="C562" s="184"/>
      <c r="E562" s="185"/>
      <c r="F562" s="185"/>
    </row>
    <row r="563" spans="3:6" ht="12.75">
      <c r="C563" s="184"/>
      <c r="E563" s="185"/>
      <c r="F563" s="185"/>
    </row>
    <row r="564" spans="3:6" ht="12.75">
      <c r="C564" s="184"/>
      <c r="E564" s="185"/>
      <c r="F564" s="185"/>
    </row>
    <row r="565" spans="3:6" ht="12.75">
      <c r="C565" s="184"/>
      <c r="E565" s="185"/>
      <c r="F565" s="185"/>
    </row>
    <row r="566" spans="3:6" ht="12.75">
      <c r="C566" s="184"/>
      <c r="E566" s="185"/>
      <c r="F566" s="185"/>
    </row>
    <row r="567" spans="3:6" ht="12.75">
      <c r="C567" s="184"/>
      <c r="E567" s="185"/>
      <c r="F567" s="185"/>
    </row>
    <row r="568" spans="3:6" ht="12.75">
      <c r="C568" s="184"/>
      <c r="E568" s="185"/>
      <c r="F568" s="185"/>
    </row>
    <row r="569" spans="3:6" ht="12.75">
      <c r="C569" s="184"/>
      <c r="E569" s="185"/>
      <c r="F569" s="185"/>
    </row>
    <row r="570" spans="3:6" ht="12.75">
      <c r="C570" s="184"/>
      <c r="E570" s="185"/>
      <c r="F570" s="185"/>
    </row>
    <row r="571" spans="3:6" ht="12.75">
      <c r="C571" s="184"/>
      <c r="E571" s="185"/>
      <c r="F571" s="185"/>
    </row>
    <row r="572" spans="3:6" ht="12.75">
      <c r="C572" s="184"/>
      <c r="E572" s="185"/>
      <c r="F572" s="185"/>
    </row>
    <row r="573" spans="3:6" ht="12.75">
      <c r="C573" s="184"/>
      <c r="E573" s="185"/>
      <c r="F573" s="185"/>
    </row>
    <row r="574" spans="3:6" ht="12.75">
      <c r="C574" s="184"/>
      <c r="E574" s="185"/>
      <c r="F574" s="185"/>
    </row>
    <row r="575" spans="3:6" ht="12.75">
      <c r="C575" s="184"/>
      <c r="E575" s="185"/>
      <c r="F575" s="185"/>
    </row>
    <row r="576" spans="3:6" ht="12.75">
      <c r="C576" s="184"/>
      <c r="E576" s="185"/>
      <c r="F576" s="185"/>
    </row>
    <row r="577" spans="3:6" ht="12.75">
      <c r="C577" s="184"/>
      <c r="E577" s="185"/>
      <c r="F577" s="185"/>
    </row>
    <row r="578" spans="3:6" ht="12.75">
      <c r="C578" s="184"/>
      <c r="E578" s="185"/>
      <c r="F578" s="185"/>
    </row>
    <row r="579" spans="3:6" ht="12.75">
      <c r="C579" s="184"/>
      <c r="E579" s="185"/>
      <c r="F579" s="185"/>
    </row>
    <row r="580" spans="3:6" ht="12.75">
      <c r="C580" s="184"/>
      <c r="E580" s="185"/>
      <c r="F580" s="185"/>
    </row>
    <row r="581" spans="3:6" ht="12.75">
      <c r="C581" s="184"/>
      <c r="E581" s="185"/>
      <c r="F581" s="185"/>
    </row>
    <row r="582" spans="3:6" ht="12.75">
      <c r="C582" s="184"/>
      <c r="E582" s="185"/>
      <c r="F582" s="185"/>
    </row>
    <row r="583" spans="3:6" ht="12.75">
      <c r="C583" s="184"/>
      <c r="E583" s="185"/>
      <c r="F583" s="185"/>
    </row>
    <row r="584" spans="3:6" ht="12.75">
      <c r="C584" s="184"/>
      <c r="E584" s="185"/>
      <c r="F584" s="185"/>
    </row>
    <row r="585" spans="3:6" ht="12.75">
      <c r="C585" s="184"/>
      <c r="E585" s="185"/>
      <c r="F585" s="185"/>
    </row>
    <row r="586" spans="3:6" ht="12.75">
      <c r="C586" s="184"/>
      <c r="E586" s="185"/>
      <c r="F586" s="185"/>
    </row>
    <row r="587" spans="3:6" ht="12.75">
      <c r="C587" s="184"/>
      <c r="E587" s="185"/>
      <c r="F587" s="185"/>
    </row>
    <row r="588" spans="3:6" ht="12.75">
      <c r="C588" s="184"/>
      <c r="E588" s="185"/>
      <c r="F588" s="185"/>
    </row>
    <row r="589" spans="3:6" ht="12.75">
      <c r="C589" s="184"/>
      <c r="E589" s="185"/>
      <c r="F589" s="185"/>
    </row>
    <row r="590" spans="3:6" ht="12.75">
      <c r="C590" s="184"/>
      <c r="E590" s="185"/>
      <c r="F590" s="185"/>
    </row>
    <row r="591" spans="3:6" ht="12.75">
      <c r="C591" s="184"/>
      <c r="E591" s="185"/>
      <c r="F591" s="185"/>
    </row>
    <row r="592" spans="3:6" ht="12.75">
      <c r="C592" s="184"/>
      <c r="E592" s="185"/>
      <c r="F592" s="185"/>
    </row>
    <row r="593" spans="3:6" ht="12.75">
      <c r="C593" s="184"/>
      <c r="E593" s="185"/>
      <c r="F593" s="185"/>
    </row>
    <row r="594" spans="3:6" ht="12.75">
      <c r="C594" s="184"/>
      <c r="E594" s="185"/>
      <c r="F594" s="185"/>
    </row>
    <row r="595" spans="3:6" ht="12.75">
      <c r="C595" s="184"/>
      <c r="E595" s="185"/>
      <c r="F595" s="185"/>
    </row>
    <row r="596" spans="3:6" ht="12.75">
      <c r="C596" s="184"/>
      <c r="E596" s="185"/>
      <c r="F596" s="185"/>
    </row>
    <row r="597" spans="3:6" ht="12.75">
      <c r="C597" s="184"/>
      <c r="E597" s="185"/>
      <c r="F597" s="185"/>
    </row>
    <row r="598" spans="3:6" ht="12.75">
      <c r="C598" s="184"/>
      <c r="E598" s="185"/>
      <c r="F598" s="185"/>
    </row>
    <row r="599" spans="3:6" ht="12.75">
      <c r="C599" s="184"/>
      <c r="E599" s="185"/>
      <c r="F599" s="185"/>
    </row>
    <row r="600" spans="3:6" ht="12.75">
      <c r="C600" s="184"/>
      <c r="E600" s="185"/>
      <c r="F600" s="185"/>
    </row>
    <row r="601" spans="3:6" ht="12.75">
      <c r="C601" s="184"/>
      <c r="E601" s="185"/>
      <c r="F601" s="185"/>
    </row>
    <row r="602" spans="3:6" ht="12.75">
      <c r="C602" s="184"/>
      <c r="E602" s="185"/>
      <c r="F602" s="185"/>
    </row>
    <row r="603" spans="3:6" ht="12.75">
      <c r="C603" s="184"/>
      <c r="E603" s="185"/>
      <c r="F603" s="185"/>
    </row>
    <row r="604" spans="3:6" ht="12.75">
      <c r="C604" s="184"/>
      <c r="E604" s="185"/>
      <c r="F604" s="185"/>
    </row>
    <row r="605" spans="3:6" ht="12.75">
      <c r="C605" s="184"/>
      <c r="E605" s="185"/>
      <c r="F605" s="185"/>
    </row>
    <row r="606" spans="3:6" ht="12.75">
      <c r="C606" s="184"/>
      <c r="E606" s="185"/>
      <c r="F606" s="185"/>
    </row>
    <row r="607" spans="3:6" ht="12.75">
      <c r="C607" s="184"/>
      <c r="E607" s="185"/>
      <c r="F607" s="185"/>
    </row>
    <row r="608" spans="3:6" ht="12.75">
      <c r="C608" s="184"/>
      <c r="E608" s="185"/>
      <c r="F608" s="185"/>
    </row>
    <row r="609" spans="3:6" ht="12.75">
      <c r="C609" s="184"/>
      <c r="E609" s="185"/>
      <c r="F609" s="185"/>
    </row>
    <row r="610" spans="3:6" ht="12.75">
      <c r="C610" s="184"/>
      <c r="E610" s="185"/>
      <c r="F610" s="185"/>
    </row>
    <row r="611" spans="3:6" ht="12.75">
      <c r="C611" s="184"/>
      <c r="E611" s="185"/>
      <c r="F611" s="185"/>
    </row>
    <row r="612" spans="3:6" ht="12.75">
      <c r="C612" s="184"/>
      <c r="E612" s="185"/>
      <c r="F612" s="185"/>
    </row>
    <row r="613" spans="3:6" ht="12.75">
      <c r="C613" s="184"/>
      <c r="E613" s="185"/>
      <c r="F613" s="185"/>
    </row>
    <row r="614" spans="3:6" ht="12.75">
      <c r="C614" s="184"/>
      <c r="E614" s="185"/>
      <c r="F614" s="185"/>
    </row>
    <row r="615" spans="3:6" ht="12.75">
      <c r="C615" s="184"/>
      <c r="E615" s="185"/>
      <c r="F615" s="185"/>
    </row>
    <row r="616" spans="3:6" ht="12.75">
      <c r="C616" s="184"/>
      <c r="E616" s="185"/>
      <c r="F616" s="185"/>
    </row>
    <row r="617" spans="3:6" ht="12.75">
      <c r="C617" s="184"/>
      <c r="E617" s="185"/>
      <c r="F617" s="185"/>
    </row>
    <row r="618" spans="3:6" ht="12.75">
      <c r="C618" s="184"/>
      <c r="E618" s="185"/>
      <c r="F618" s="185"/>
    </row>
    <row r="619" spans="3:6" ht="12.75">
      <c r="C619" s="184"/>
      <c r="E619" s="185"/>
      <c r="F619" s="185"/>
    </row>
    <row r="620" spans="3:6" ht="12.75">
      <c r="C620" s="184"/>
      <c r="E620" s="185"/>
      <c r="F620" s="185"/>
    </row>
    <row r="621" spans="3:6" ht="12.75">
      <c r="C621" s="184"/>
      <c r="E621" s="185"/>
      <c r="F621" s="185"/>
    </row>
    <row r="622" spans="3:6" ht="12.75">
      <c r="C622" s="184"/>
      <c r="E622" s="185"/>
      <c r="F622" s="185"/>
    </row>
    <row r="623" spans="3:6" ht="12.75">
      <c r="C623" s="184"/>
      <c r="E623" s="185"/>
      <c r="F623" s="185"/>
    </row>
    <row r="624" spans="3:6" ht="12.75">
      <c r="C624" s="184"/>
      <c r="E624" s="185"/>
      <c r="F624" s="185"/>
    </row>
    <row r="625" spans="3:6" ht="12.75">
      <c r="C625" s="184"/>
      <c r="E625" s="185"/>
      <c r="F625" s="185"/>
    </row>
    <row r="626" spans="3:6" ht="12.75">
      <c r="C626" s="184"/>
      <c r="E626" s="185"/>
      <c r="F626" s="185"/>
    </row>
    <row r="627" spans="3:6" ht="12.75">
      <c r="C627" s="184"/>
      <c r="E627" s="185"/>
      <c r="F627" s="185"/>
    </row>
    <row r="628" spans="3:6" ht="12.75">
      <c r="C628" s="184"/>
      <c r="E628" s="185"/>
      <c r="F628" s="185"/>
    </row>
    <row r="629" spans="3:6" ht="12.75">
      <c r="C629" s="184"/>
      <c r="E629" s="185"/>
      <c r="F629" s="185"/>
    </row>
    <row r="630" spans="3:6" ht="12.75">
      <c r="C630" s="184"/>
      <c r="E630" s="185"/>
      <c r="F630" s="185"/>
    </row>
    <row r="631" spans="3:6" ht="12.75">
      <c r="C631" s="184"/>
      <c r="E631" s="185"/>
      <c r="F631" s="185"/>
    </row>
    <row r="632" spans="3:6" ht="12.75">
      <c r="C632" s="184"/>
      <c r="E632" s="185"/>
      <c r="F632" s="185"/>
    </row>
    <row r="633" spans="3:6" ht="12.75">
      <c r="C633" s="184"/>
      <c r="E633" s="185"/>
      <c r="F633" s="185"/>
    </row>
    <row r="634" spans="3:6" ht="12.75">
      <c r="C634" s="184"/>
      <c r="E634" s="185"/>
      <c r="F634" s="185"/>
    </row>
    <row r="635" spans="3:6" ht="12.75">
      <c r="C635" s="184"/>
      <c r="E635" s="185"/>
      <c r="F635" s="185"/>
    </row>
    <row r="636" spans="3:6" ht="12.75">
      <c r="C636" s="184"/>
      <c r="E636" s="185"/>
      <c r="F636" s="185"/>
    </row>
    <row r="637" spans="3:6" ht="12.75">
      <c r="C637" s="184"/>
      <c r="E637" s="185"/>
      <c r="F637" s="185"/>
    </row>
    <row r="638" spans="3:6" ht="12.75">
      <c r="C638" s="184"/>
      <c r="E638" s="185"/>
      <c r="F638" s="185"/>
    </row>
    <row r="639" spans="3:6" ht="12.75">
      <c r="C639" s="184"/>
      <c r="E639" s="185"/>
      <c r="F639" s="185"/>
    </row>
    <row r="640" spans="3:6" ht="12.75">
      <c r="C640" s="184"/>
      <c r="E640" s="185"/>
      <c r="F640" s="185"/>
    </row>
    <row r="641" spans="3:6" ht="12.75">
      <c r="C641" s="184"/>
      <c r="E641" s="185"/>
      <c r="F641" s="185"/>
    </row>
    <row r="642" spans="3:6" ht="12.75">
      <c r="C642" s="184"/>
      <c r="E642" s="185"/>
      <c r="F642" s="185"/>
    </row>
    <row r="643" spans="3:6" ht="12.75">
      <c r="C643" s="184"/>
      <c r="E643" s="185"/>
      <c r="F643" s="185"/>
    </row>
    <row r="644" spans="3:6" ht="12.75">
      <c r="C644" s="184"/>
      <c r="E644" s="185"/>
      <c r="F644" s="185"/>
    </row>
    <row r="645" spans="3:6" ht="12.75">
      <c r="C645" s="184"/>
      <c r="E645" s="185"/>
      <c r="F645" s="185"/>
    </row>
    <row r="646" spans="3:6" ht="12.75">
      <c r="C646" s="184"/>
      <c r="E646" s="185"/>
      <c r="F646" s="185"/>
    </row>
    <row r="647" spans="3:6" ht="12.75">
      <c r="C647" s="184"/>
      <c r="E647" s="185"/>
      <c r="F647" s="185"/>
    </row>
    <row r="648" spans="3:6" ht="12.75">
      <c r="C648" s="184"/>
      <c r="E648" s="185"/>
      <c r="F648" s="185"/>
    </row>
    <row r="649" spans="3:6" ht="12.75">
      <c r="C649" s="184"/>
      <c r="E649" s="185"/>
      <c r="F649" s="185"/>
    </row>
    <row r="650" spans="3:6" ht="12.75">
      <c r="C650" s="184"/>
      <c r="E650" s="185"/>
      <c r="F650" s="185"/>
    </row>
    <row r="651" spans="3:6" ht="12.75">
      <c r="C651" s="184"/>
      <c r="E651" s="185"/>
      <c r="F651" s="185"/>
    </row>
    <row r="652" spans="3:6" ht="12.75">
      <c r="C652" s="184"/>
      <c r="E652" s="185"/>
      <c r="F652" s="185"/>
    </row>
    <row r="653" spans="3:6" ht="12.75">
      <c r="C653" s="184"/>
      <c r="E653" s="185"/>
      <c r="F653" s="185"/>
    </row>
    <row r="654" spans="3:6" ht="12.75">
      <c r="C654" s="184"/>
      <c r="E654" s="185"/>
      <c r="F654" s="185"/>
    </row>
    <row r="655" spans="3:6" ht="12.75">
      <c r="C655" s="184"/>
      <c r="E655" s="185"/>
      <c r="F655" s="185"/>
    </row>
    <row r="656" spans="3:6" ht="12.75">
      <c r="C656" s="184"/>
      <c r="E656" s="185"/>
      <c r="F656" s="185"/>
    </row>
    <row r="657" spans="3:6" ht="12.75">
      <c r="C657" s="184"/>
      <c r="E657" s="185"/>
      <c r="F657" s="185"/>
    </row>
    <row r="658" spans="3:6" ht="12.75">
      <c r="C658" s="184"/>
      <c r="E658" s="185"/>
      <c r="F658" s="185"/>
    </row>
    <row r="659" spans="3:6" ht="12.75">
      <c r="C659" s="184"/>
      <c r="E659" s="185"/>
      <c r="F659" s="185"/>
    </row>
    <row r="660" spans="3:6" ht="12.75">
      <c r="C660" s="184"/>
      <c r="E660" s="185"/>
      <c r="F660" s="185"/>
    </row>
    <row r="661" spans="3:6" ht="12.75">
      <c r="C661" s="184"/>
      <c r="E661" s="185"/>
      <c r="F661" s="185"/>
    </row>
    <row r="662" spans="3:6" ht="12.75">
      <c r="C662" s="184"/>
      <c r="E662" s="185"/>
      <c r="F662" s="185"/>
    </row>
    <row r="663" spans="3:6" ht="12.75">
      <c r="C663" s="184"/>
      <c r="E663" s="185"/>
      <c r="F663" s="185"/>
    </row>
    <row r="664" spans="3:6" ht="12.75">
      <c r="C664" s="184"/>
      <c r="E664" s="185"/>
      <c r="F664" s="185"/>
    </row>
    <row r="665" spans="3:6" ht="12.75">
      <c r="C665" s="184"/>
      <c r="E665" s="185"/>
      <c r="F665" s="185"/>
    </row>
    <row r="666" spans="3:6" ht="12.75">
      <c r="C666" s="184"/>
      <c r="E666" s="185"/>
      <c r="F666" s="185"/>
    </row>
    <row r="667" spans="3:6" ht="12.75">
      <c r="C667" s="184"/>
      <c r="E667" s="185"/>
      <c r="F667" s="185"/>
    </row>
    <row r="668" spans="3:6" ht="12.75">
      <c r="C668" s="184"/>
      <c r="E668" s="185"/>
      <c r="F668" s="185"/>
    </row>
    <row r="669" spans="3:6" ht="12.75">
      <c r="C669" s="184"/>
      <c r="E669" s="185"/>
      <c r="F669" s="185"/>
    </row>
    <row r="670" spans="3:6" ht="12.75">
      <c r="C670" s="184"/>
      <c r="E670" s="185"/>
      <c r="F670" s="185"/>
    </row>
    <row r="671" spans="3:6" ht="12.75">
      <c r="C671" s="184"/>
      <c r="E671" s="185"/>
      <c r="F671" s="185"/>
    </row>
    <row r="672" spans="3:6" ht="12.75">
      <c r="C672" s="184"/>
      <c r="E672" s="185"/>
      <c r="F672" s="185"/>
    </row>
    <row r="673" spans="3:6" ht="12.75">
      <c r="C673" s="184"/>
      <c r="E673" s="185"/>
      <c r="F673" s="185"/>
    </row>
    <row r="674" spans="3:6" ht="12.75">
      <c r="C674" s="184"/>
      <c r="E674" s="185"/>
      <c r="F674" s="185"/>
    </row>
    <row r="675" spans="3:6" ht="12.75">
      <c r="C675" s="184"/>
      <c r="E675" s="185"/>
      <c r="F675" s="185"/>
    </row>
    <row r="676" spans="3:6" ht="12.75">
      <c r="C676" s="184"/>
      <c r="E676" s="185"/>
      <c r="F676" s="185"/>
    </row>
    <row r="677" spans="3:6" ht="12.75">
      <c r="C677" s="184"/>
      <c r="E677" s="185"/>
      <c r="F677" s="185"/>
    </row>
    <row r="678" spans="3:6" ht="12.75">
      <c r="C678" s="184"/>
      <c r="E678" s="185"/>
      <c r="F678" s="185"/>
    </row>
    <row r="679" spans="3:6" ht="12.75">
      <c r="C679" s="184"/>
      <c r="E679" s="185"/>
      <c r="F679" s="185"/>
    </row>
    <row r="680" spans="3:6" ht="12.75">
      <c r="C680" s="184"/>
      <c r="E680" s="185"/>
      <c r="F680" s="185"/>
    </row>
    <row r="681" spans="3:6" ht="12.75">
      <c r="C681" s="184"/>
      <c r="E681" s="185"/>
      <c r="F681" s="185"/>
    </row>
    <row r="682" spans="3:6" ht="12.75">
      <c r="C682" s="184"/>
      <c r="E682" s="185"/>
      <c r="F682" s="185"/>
    </row>
    <row r="683" spans="3:6" ht="12.75">
      <c r="C683" s="184"/>
      <c r="E683" s="185"/>
      <c r="F683" s="185"/>
    </row>
    <row r="684" spans="3:6" ht="12.75">
      <c r="C684" s="184"/>
      <c r="E684" s="185"/>
      <c r="F684" s="185"/>
    </row>
    <row r="685" spans="3:6" ht="12.75">
      <c r="C685" s="184"/>
      <c r="E685" s="185"/>
      <c r="F685" s="185"/>
    </row>
    <row r="686" spans="3:6" ht="12.75">
      <c r="C686" s="184"/>
      <c r="E686" s="185"/>
      <c r="F686" s="185"/>
    </row>
    <row r="687" spans="3:6" ht="12.75">
      <c r="C687" s="184"/>
      <c r="E687" s="185"/>
      <c r="F687" s="185"/>
    </row>
    <row r="688" spans="3:6" ht="12.75">
      <c r="C688" s="184"/>
      <c r="E688" s="185"/>
      <c r="F688" s="185"/>
    </row>
    <row r="689" spans="3:6" ht="12.75">
      <c r="C689" s="184"/>
      <c r="E689" s="185"/>
      <c r="F689" s="185"/>
    </row>
    <row r="690" spans="3:6" ht="12.75">
      <c r="C690" s="184"/>
      <c r="E690" s="185"/>
      <c r="F690" s="185"/>
    </row>
    <row r="691" spans="3:6" ht="12.75">
      <c r="C691" s="184"/>
      <c r="E691" s="185"/>
      <c r="F691" s="185"/>
    </row>
    <row r="692" spans="3:6" ht="12.75">
      <c r="C692" s="184"/>
      <c r="E692" s="185"/>
      <c r="F692" s="185"/>
    </row>
    <row r="693" spans="3:6" ht="12.75">
      <c r="C693" s="184"/>
      <c r="E693" s="185"/>
      <c r="F693" s="185"/>
    </row>
    <row r="694" spans="3:6" ht="12.75">
      <c r="C694" s="184"/>
      <c r="E694" s="185"/>
      <c r="F694" s="185"/>
    </row>
    <row r="695" spans="3:6" ht="12.75">
      <c r="C695" s="184"/>
      <c r="E695" s="185"/>
      <c r="F695" s="185"/>
    </row>
    <row r="696" spans="3:6" ht="12.75">
      <c r="C696" s="184"/>
      <c r="E696" s="185"/>
      <c r="F696" s="185"/>
    </row>
    <row r="697" spans="3:6" ht="12.75">
      <c r="C697" s="184"/>
      <c r="E697" s="185"/>
      <c r="F697" s="185"/>
    </row>
    <row r="698" spans="3:6" ht="12.75">
      <c r="C698" s="184"/>
      <c r="E698" s="185"/>
      <c r="F698" s="185"/>
    </row>
    <row r="699" spans="3:6" ht="12.75">
      <c r="C699" s="184"/>
      <c r="E699" s="185"/>
      <c r="F699" s="185"/>
    </row>
    <row r="700" spans="3:6" ht="12.75">
      <c r="C700" s="184"/>
      <c r="E700" s="185"/>
      <c r="F700" s="185"/>
    </row>
    <row r="701" spans="3:6" ht="12.75">
      <c r="C701" s="184"/>
      <c r="E701" s="185"/>
      <c r="F701" s="185"/>
    </row>
    <row r="702" spans="3:6" ht="12.75">
      <c r="C702" s="184"/>
      <c r="E702" s="185"/>
      <c r="F702" s="185"/>
    </row>
    <row r="703" spans="3:6" ht="12.75">
      <c r="C703" s="184"/>
      <c r="E703" s="185"/>
      <c r="F703" s="185"/>
    </row>
    <row r="704" spans="3:6" ht="12.75">
      <c r="C704" s="184"/>
      <c r="E704" s="185"/>
      <c r="F704" s="185"/>
    </row>
    <row r="705" spans="3:6" ht="12.75">
      <c r="C705" s="184"/>
      <c r="E705" s="185"/>
      <c r="F705" s="185"/>
    </row>
    <row r="706" spans="3:6" ht="12.75">
      <c r="C706" s="184"/>
      <c r="E706" s="185"/>
      <c r="F706" s="185"/>
    </row>
    <row r="707" spans="3:6" ht="12.75">
      <c r="C707" s="184"/>
      <c r="E707" s="185"/>
      <c r="F707" s="185"/>
    </row>
    <row r="708" spans="3:6" ht="12.75">
      <c r="C708" s="184"/>
      <c r="E708" s="185"/>
      <c r="F708" s="185"/>
    </row>
    <row r="709" spans="3:6" ht="12.75">
      <c r="C709" s="184"/>
      <c r="E709" s="185"/>
      <c r="F709" s="185"/>
    </row>
    <row r="710" spans="3:6" ht="12.75">
      <c r="C710" s="184"/>
      <c r="E710" s="185"/>
      <c r="F710" s="185"/>
    </row>
    <row r="711" spans="3:6" ht="12.75">
      <c r="C711" s="184"/>
      <c r="E711" s="185"/>
      <c r="F711" s="185"/>
    </row>
    <row r="712" spans="3:6" ht="12.75">
      <c r="C712" s="184"/>
      <c r="E712" s="185"/>
      <c r="F712" s="185"/>
    </row>
    <row r="713" spans="3:6" ht="12.75">
      <c r="C713" s="184"/>
      <c r="E713" s="185"/>
      <c r="F713" s="185"/>
    </row>
    <row r="714" spans="3:6" ht="12.75">
      <c r="C714" s="184"/>
      <c r="E714" s="185"/>
      <c r="F714" s="185"/>
    </row>
    <row r="715" spans="3:6" ht="12.75">
      <c r="C715" s="184"/>
      <c r="E715" s="185"/>
      <c r="F715" s="185"/>
    </row>
    <row r="716" spans="3:6" ht="12.75">
      <c r="C716" s="184"/>
      <c r="E716" s="185"/>
      <c r="F716" s="185"/>
    </row>
    <row r="717" spans="3:6" ht="12.75">
      <c r="C717" s="184"/>
      <c r="E717" s="185"/>
      <c r="F717" s="185"/>
    </row>
    <row r="718" spans="3:6" ht="12.75">
      <c r="C718" s="184"/>
      <c r="E718" s="185"/>
      <c r="F718" s="185"/>
    </row>
    <row r="719" spans="3:6" ht="12.75">
      <c r="C719" s="184"/>
      <c r="E719" s="185"/>
      <c r="F719" s="185"/>
    </row>
    <row r="720" spans="3:6" ht="12.75">
      <c r="C720" s="184"/>
      <c r="E720" s="185"/>
      <c r="F720" s="185"/>
    </row>
    <row r="721" spans="3:6" ht="12.75">
      <c r="C721" s="184"/>
      <c r="E721" s="185"/>
      <c r="F721" s="185"/>
    </row>
    <row r="722" spans="3:6" ht="12.75">
      <c r="C722" s="184"/>
      <c r="E722" s="185"/>
      <c r="F722" s="185"/>
    </row>
    <row r="723" spans="3:6" ht="12.75">
      <c r="C723" s="184"/>
      <c r="E723" s="185"/>
      <c r="F723" s="185"/>
    </row>
    <row r="724" spans="3:6" ht="12.75">
      <c r="C724" s="184"/>
      <c r="E724" s="185"/>
      <c r="F724" s="185"/>
    </row>
    <row r="725" spans="3:6" ht="12.75">
      <c r="C725" s="184"/>
      <c r="E725" s="185"/>
      <c r="F725" s="185"/>
    </row>
    <row r="726" spans="3:6" ht="12.75">
      <c r="C726" s="184"/>
      <c r="E726" s="185"/>
      <c r="F726" s="185"/>
    </row>
    <row r="727" spans="3:6" ht="12.75">
      <c r="C727" s="184"/>
      <c r="E727" s="185"/>
      <c r="F727" s="185"/>
    </row>
    <row r="728" spans="3:6" ht="12.75">
      <c r="C728" s="184"/>
      <c r="E728" s="185"/>
      <c r="F728" s="185"/>
    </row>
    <row r="729" spans="3:6" ht="12.75">
      <c r="C729" s="184"/>
      <c r="E729" s="185"/>
      <c r="F729" s="185"/>
    </row>
    <row r="730" spans="3:6" ht="12.75">
      <c r="C730" s="184"/>
      <c r="E730" s="185"/>
      <c r="F730" s="185"/>
    </row>
    <row r="731" spans="3:6" ht="12.75">
      <c r="C731" s="184"/>
      <c r="E731" s="185"/>
      <c r="F731" s="185"/>
    </row>
    <row r="732" spans="3:6" ht="12.75">
      <c r="C732" s="184"/>
      <c r="E732" s="185"/>
      <c r="F732" s="185"/>
    </row>
    <row r="733" spans="3:6" ht="12.75">
      <c r="C733" s="184"/>
      <c r="E733" s="185"/>
      <c r="F733" s="185"/>
    </row>
    <row r="734" spans="3:6" ht="12.75">
      <c r="C734" s="184"/>
      <c r="E734" s="185"/>
      <c r="F734" s="185"/>
    </row>
    <row r="735" spans="3:6" ht="12.75">
      <c r="C735" s="184"/>
      <c r="E735" s="185"/>
      <c r="F735" s="185"/>
    </row>
    <row r="736" spans="3:6" ht="12.75">
      <c r="C736" s="184"/>
      <c r="E736" s="185"/>
      <c r="F736" s="185"/>
    </row>
    <row r="737" spans="3:6" ht="12.75">
      <c r="C737" s="184"/>
      <c r="E737" s="185"/>
      <c r="F737" s="185"/>
    </row>
    <row r="738" spans="3:6" ht="12.75">
      <c r="C738" s="184"/>
      <c r="E738" s="185"/>
      <c r="F738" s="185"/>
    </row>
    <row r="739" spans="3:6" ht="12.75">
      <c r="C739" s="184"/>
      <c r="E739" s="185"/>
      <c r="F739" s="185"/>
    </row>
    <row r="740" spans="3:6" ht="12.75">
      <c r="C740" s="184"/>
      <c r="E740" s="185"/>
      <c r="F740" s="185"/>
    </row>
    <row r="741" spans="3:6" ht="12.75">
      <c r="C741" s="184"/>
      <c r="E741" s="185"/>
      <c r="F741" s="185"/>
    </row>
    <row r="742" spans="3:6" ht="12.75">
      <c r="C742" s="184"/>
      <c r="E742" s="185"/>
      <c r="F742" s="185"/>
    </row>
    <row r="743" spans="3:6" ht="12.75">
      <c r="C743" s="184"/>
      <c r="E743" s="185"/>
      <c r="F743" s="185"/>
    </row>
    <row r="744" spans="3:6" ht="12.75">
      <c r="C744" s="184"/>
      <c r="E744" s="185"/>
      <c r="F744" s="185"/>
    </row>
    <row r="745" spans="3:6" ht="12.75">
      <c r="C745" s="184"/>
      <c r="E745" s="185"/>
      <c r="F745" s="185"/>
    </row>
    <row r="746" spans="3:6" ht="12.75">
      <c r="C746" s="184"/>
      <c r="E746" s="185"/>
      <c r="F746" s="185"/>
    </row>
    <row r="747" spans="3:6" ht="12.75">
      <c r="C747" s="184"/>
      <c r="E747" s="185"/>
      <c r="F747" s="185"/>
    </row>
    <row r="748" spans="3:6" ht="12.75">
      <c r="C748" s="184"/>
      <c r="E748" s="185"/>
      <c r="F748" s="185"/>
    </row>
    <row r="749" spans="3:6" ht="12.75">
      <c r="C749" s="184"/>
      <c r="E749" s="185"/>
      <c r="F749" s="185"/>
    </row>
    <row r="750" spans="3:6" ht="12.75">
      <c r="C750" s="184"/>
      <c r="E750" s="185"/>
      <c r="F750" s="185"/>
    </row>
    <row r="751" spans="3:6" ht="12.75">
      <c r="C751" s="184"/>
      <c r="E751" s="185"/>
      <c r="F751" s="185"/>
    </row>
    <row r="752" spans="3:6" ht="12.75">
      <c r="C752" s="184"/>
      <c r="E752" s="185"/>
      <c r="F752" s="185"/>
    </row>
    <row r="753" spans="3:6" ht="12.75">
      <c r="C753" s="184"/>
      <c r="E753" s="185"/>
      <c r="F753" s="185"/>
    </row>
    <row r="754" spans="3:6" ht="12.75">
      <c r="C754" s="184"/>
      <c r="E754" s="185"/>
      <c r="F754" s="185"/>
    </row>
    <row r="755" spans="3:6" ht="12.75">
      <c r="C755" s="184"/>
      <c r="E755" s="185"/>
      <c r="F755" s="185"/>
    </row>
    <row r="756" spans="3:6" ht="12.75">
      <c r="C756" s="184"/>
      <c r="E756" s="185"/>
      <c r="F756" s="185"/>
    </row>
    <row r="757" spans="3:6" ht="12.75">
      <c r="C757" s="184"/>
      <c r="E757" s="185"/>
      <c r="F757" s="185"/>
    </row>
    <row r="758" spans="3:6" ht="12.75">
      <c r="C758" s="184"/>
      <c r="E758" s="185"/>
      <c r="F758" s="185"/>
    </row>
    <row r="759" spans="3:6" ht="12.75">
      <c r="C759" s="184"/>
      <c r="E759" s="185"/>
      <c r="F759" s="185"/>
    </row>
    <row r="760" spans="3:6" ht="12.75">
      <c r="C760" s="184"/>
      <c r="E760" s="185"/>
      <c r="F760" s="185"/>
    </row>
    <row r="761" spans="3:6" ht="12.75">
      <c r="C761" s="184"/>
      <c r="E761" s="185"/>
      <c r="F761" s="185"/>
    </row>
    <row r="762" spans="3:6" ht="12.75">
      <c r="C762" s="184"/>
      <c r="E762" s="185"/>
      <c r="F762" s="185"/>
    </row>
    <row r="763" spans="3:6" ht="12.75">
      <c r="C763" s="184"/>
      <c r="E763" s="185"/>
      <c r="F763" s="185"/>
    </row>
    <row r="764" spans="3:6" ht="12.75">
      <c r="C764" s="184"/>
      <c r="E764" s="185"/>
      <c r="F764" s="185"/>
    </row>
    <row r="765" spans="3:6" ht="12.75">
      <c r="C765" s="184"/>
      <c r="E765" s="185"/>
      <c r="F765" s="185"/>
    </row>
    <row r="766" spans="3:6" ht="12.75">
      <c r="C766" s="184"/>
      <c r="E766" s="185"/>
      <c r="F766" s="185"/>
    </row>
    <row r="767" spans="3:6" ht="12.75">
      <c r="C767" s="184"/>
      <c r="E767" s="185"/>
      <c r="F767" s="185"/>
    </row>
    <row r="768" spans="3:6" ht="12.75">
      <c r="C768" s="184"/>
      <c r="E768" s="185"/>
      <c r="F768" s="185"/>
    </row>
    <row r="769" spans="3:6" ht="12.75">
      <c r="C769" s="184"/>
      <c r="E769" s="185"/>
      <c r="F769" s="185"/>
    </row>
    <row r="770" spans="3:6" ht="12.75">
      <c r="C770" s="184"/>
      <c r="E770" s="185"/>
      <c r="F770" s="185"/>
    </row>
    <row r="771" spans="3:6" ht="12.75">
      <c r="C771" s="184"/>
      <c r="E771" s="185"/>
      <c r="F771" s="185"/>
    </row>
    <row r="772" spans="3:6" ht="12.75">
      <c r="C772" s="184"/>
      <c r="E772" s="185"/>
      <c r="F772" s="185"/>
    </row>
    <row r="773" spans="3:6" ht="12.75">
      <c r="C773" s="184"/>
      <c r="E773" s="185"/>
      <c r="F773" s="185"/>
    </row>
    <row r="774" spans="3:6" ht="12.75">
      <c r="C774" s="184"/>
      <c r="E774" s="185"/>
      <c r="F774" s="185"/>
    </row>
    <row r="775" spans="3:6" ht="12.75">
      <c r="C775" s="184"/>
      <c r="E775" s="185"/>
      <c r="F775" s="185"/>
    </row>
    <row r="776" spans="3:6" ht="12.75">
      <c r="C776" s="184"/>
      <c r="E776" s="185"/>
      <c r="F776" s="185"/>
    </row>
    <row r="777" spans="3:6" ht="12.75">
      <c r="C777" s="184"/>
      <c r="E777" s="185"/>
      <c r="F777" s="185"/>
    </row>
    <row r="778" spans="3:6" ht="12.75">
      <c r="C778" s="184"/>
      <c r="E778" s="185"/>
      <c r="F778" s="185"/>
    </row>
    <row r="779" spans="3:6" ht="12.75">
      <c r="C779" s="184"/>
      <c r="E779" s="185"/>
      <c r="F779" s="185"/>
    </row>
    <row r="780" spans="3:6" ht="12.75">
      <c r="C780" s="184"/>
      <c r="E780" s="185"/>
      <c r="F780" s="185"/>
    </row>
    <row r="781" spans="3:6" ht="12.75">
      <c r="C781" s="184"/>
      <c r="E781" s="185"/>
      <c r="F781" s="185"/>
    </row>
    <row r="782" spans="3:6" ht="12.75">
      <c r="C782" s="184"/>
      <c r="E782" s="185"/>
      <c r="F782" s="185"/>
    </row>
    <row r="783" spans="3:6" ht="12.75">
      <c r="C783" s="184"/>
      <c r="E783" s="185"/>
      <c r="F783" s="185"/>
    </row>
    <row r="784" spans="3:6" ht="12.75">
      <c r="C784" s="184"/>
      <c r="E784" s="185"/>
      <c r="F784" s="185"/>
    </row>
    <row r="785" spans="3:6" ht="12.75">
      <c r="C785" s="184"/>
      <c r="E785" s="185"/>
      <c r="F785" s="185"/>
    </row>
    <row r="786" spans="3:6" ht="12.75">
      <c r="C786" s="184"/>
      <c r="E786" s="185"/>
      <c r="F786" s="185"/>
    </row>
    <row r="787" spans="3:6" ht="12.75">
      <c r="C787" s="184"/>
      <c r="E787" s="185"/>
      <c r="F787" s="185"/>
    </row>
    <row r="788" spans="3:6" ht="12.75">
      <c r="C788" s="184"/>
      <c r="E788" s="185"/>
      <c r="F788" s="185"/>
    </row>
    <row r="789" spans="3:6" ht="12.75">
      <c r="C789" s="184"/>
      <c r="E789" s="185"/>
      <c r="F789" s="185"/>
    </row>
    <row r="790" spans="3:6" ht="12.75">
      <c r="C790" s="184"/>
      <c r="E790" s="185"/>
      <c r="F790" s="185"/>
    </row>
    <row r="791" spans="3:6" ht="12.75">
      <c r="C791" s="184"/>
      <c r="E791" s="185"/>
      <c r="F791" s="185"/>
    </row>
    <row r="792" spans="3:6" ht="12.75">
      <c r="C792" s="184"/>
      <c r="E792" s="185"/>
      <c r="F792" s="185"/>
    </row>
    <row r="793" spans="3:6" ht="12.75">
      <c r="C793" s="184"/>
      <c r="E793" s="185"/>
      <c r="F793" s="185"/>
    </row>
    <row r="794" spans="3:6" ht="12.75">
      <c r="C794" s="184"/>
      <c r="E794" s="185"/>
      <c r="F794" s="185"/>
    </row>
    <row r="795" spans="3:6" ht="12.75">
      <c r="C795" s="184"/>
      <c r="E795" s="185"/>
      <c r="F795" s="185"/>
    </row>
    <row r="796" spans="3:6" ht="12.75">
      <c r="C796" s="184"/>
      <c r="E796" s="185"/>
      <c r="F796" s="185"/>
    </row>
    <row r="797" spans="3:6" ht="12.75">
      <c r="C797" s="184"/>
      <c r="E797" s="185"/>
      <c r="F797" s="185"/>
    </row>
    <row r="798" spans="3:6" ht="12.75">
      <c r="C798" s="184"/>
      <c r="E798" s="185"/>
      <c r="F798" s="185"/>
    </row>
    <row r="799" spans="3:6" ht="12.75">
      <c r="C799" s="184"/>
      <c r="E799" s="185"/>
      <c r="F799" s="185"/>
    </row>
    <row r="800" spans="3:6" ht="12.75">
      <c r="C800" s="184"/>
      <c r="E800" s="185"/>
      <c r="F800" s="185"/>
    </row>
    <row r="801" spans="3:6" ht="12.75">
      <c r="C801" s="184"/>
      <c r="E801" s="185"/>
      <c r="F801" s="185"/>
    </row>
    <row r="802" spans="3:6" ht="12.75">
      <c r="C802" s="184"/>
      <c r="E802" s="185"/>
      <c r="F802" s="185"/>
    </row>
    <row r="803" spans="3:6" ht="12.75">
      <c r="C803" s="184"/>
      <c r="E803" s="185"/>
      <c r="F803" s="185"/>
    </row>
    <row r="804" spans="3:6" ht="12.75">
      <c r="C804" s="184"/>
      <c r="E804" s="185"/>
      <c r="F804" s="185"/>
    </row>
    <row r="805" spans="3:6" ht="12.75">
      <c r="C805" s="184"/>
      <c r="E805" s="185"/>
      <c r="F805" s="185"/>
    </row>
    <row r="806" spans="3:6" ht="12.75">
      <c r="C806" s="184"/>
      <c r="E806" s="185"/>
      <c r="F806" s="185"/>
    </row>
    <row r="807" spans="3:6" ht="12.75">
      <c r="C807" s="184"/>
      <c r="E807" s="185"/>
      <c r="F807" s="185"/>
    </row>
    <row r="808" spans="3:6" ht="12.75">
      <c r="C808" s="184"/>
      <c r="E808" s="185"/>
      <c r="F808" s="185"/>
    </row>
    <row r="809" spans="3:6" ht="12.75">
      <c r="C809" s="184"/>
      <c r="E809" s="185"/>
      <c r="F809" s="185"/>
    </row>
    <row r="810" spans="3:6" ht="12.75">
      <c r="C810" s="184"/>
      <c r="E810" s="185"/>
      <c r="F810" s="185"/>
    </row>
    <row r="811" spans="3:6" ht="12.75">
      <c r="C811" s="184"/>
      <c r="E811" s="185"/>
      <c r="F811" s="185"/>
    </row>
    <row r="812" spans="3:6" ht="12.75">
      <c r="C812" s="184"/>
      <c r="E812" s="185"/>
      <c r="F812" s="185"/>
    </row>
    <row r="813" spans="3:6" ht="12.75">
      <c r="C813" s="184"/>
      <c r="E813" s="185"/>
      <c r="F813" s="185"/>
    </row>
    <row r="814" spans="3:6" ht="12.75">
      <c r="C814" s="184"/>
      <c r="E814" s="185"/>
      <c r="F814" s="185"/>
    </row>
    <row r="815" spans="3:6" ht="12.75">
      <c r="C815" s="184"/>
      <c r="E815" s="185"/>
      <c r="F815" s="185"/>
    </row>
    <row r="816" spans="3:6" ht="12.75">
      <c r="C816" s="184"/>
      <c r="E816" s="185"/>
      <c r="F816" s="185"/>
    </row>
    <row r="817" spans="3:6" ht="12.75">
      <c r="C817" s="184"/>
      <c r="E817" s="185"/>
      <c r="F817" s="185"/>
    </row>
    <row r="818" spans="3:6" ht="12.75">
      <c r="C818" s="184"/>
      <c r="E818" s="185"/>
      <c r="F818" s="185"/>
    </row>
    <row r="819" spans="3:6" ht="12.75">
      <c r="C819" s="184"/>
      <c r="E819" s="185"/>
      <c r="F819" s="185"/>
    </row>
    <row r="820" spans="3:6" ht="12.75">
      <c r="C820" s="184"/>
      <c r="E820" s="185"/>
      <c r="F820" s="185"/>
    </row>
    <row r="821" spans="3:6" ht="12.75">
      <c r="C821" s="184"/>
      <c r="E821" s="185"/>
      <c r="F821" s="185"/>
    </row>
    <row r="822" spans="3:6" ht="12.75">
      <c r="C822" s="184"/>
      <c r="E822" s="185"/>
      <c r="F822" s="185"/>
    </row>
    <row r="823" spans="3:6" ht="12.75">
      <c r="C823" s="184"/>
      <c r="E823" s="185"/>
      <c r="F823" s="185"/>
    </row>
    <row r="824" spans="3:6" ht="12.75">
      <c r="C824" s="184"/>
      <c r="E824" s="185"/>
      <c r="F824" s="185"/>
    </row>
    <row r="825" spans="3:6" ht="12.75">
      <c r="C825" s="184"/>
      <c r="E825" s="185"/>
      <c r="F825" s="185"/>
    </row>
    <row r="826" spans="3:6" ht="12.75">
      <c r="C826" s="184"/>
      <c r="E826" s="185"/>
      <c r="F826" s="185"/>
    </row>
    <row r="827" spans="3:6" ht="12.75">
      <c r="C827" s="184"/>
      <c r="E827" s="185"/>
      <c r="F827" s="185"/>
    </row>
    <row r="828" spans="3:6" ht="12.75">
      <c r="C828" s="184"/>
      <c r="E828" s="185"/>
      <c r="F828" s="185"/>
    </row>
    <row r="829" spans="3:6" ht="12.75">
      <c r="C829" s="184"/>
      <c r="E829" s="185"/>
      <c r="F829" s="185"/>
    </row>
    <row r="830" spans="3:6" ht="12.75">
      <c r="C830" s="184"/>
      <c r="E830" s="185"/>
      <c r="F830" s="185"/>
    </row>
    <row r="831" spans="3:6" ht="12.75">
      <c r="C831" s="184"/>
      <c r="E831" s="185"/>
      <c r="F831" s="185"/>
    </row>
    <row r="832" spans="3:6" ht="12.75">
      <c r="C832" s="184"/>
      <c r="E832" s="185"/>
      <c r="F832" s="185"/>
    </row>
    <row r="833" spans="3:6" ht="12.75">
      <c r="C833" s="184"/>
      <c r="E833" s="185"/>
      <c r="F833" s="185"/>
    </row>
    <row r="834" spans="3:6" ht="12.75">
      <c r="C834" s="184"/>
      <c r="E834" s="185"/>
      <c r="F834" s="185"/>
    </row>
    <row r="835" spans="3:6" ht="12.75">
      <c r="C835" s="184"/>
      <c r="E835" s="185"/>
      <c r="F835" s="185"/>
    </row>
    <row r="836" spans="3:6" ht="12.75">
      <c r="C836" s="184"/>
      <c r="E836" s="185"/>
      <c r="F836" s="185"/>
    </row>
    <row r="837" spans="3:6" ht="12.75">
      <c r="C837" s="184"/>
      <c r="E837" s="185"/>
      <c r="F837" s="185"/>
    </row>
    <row r="838" spans="3:6" ht="12.75">
      <c r="C838" s="184"/>
      <c r="E838" s="185"/>
      <c r="F838" s="185"/>
    </row>
    <row r="839" spans="3:6" ht="12.75">
      <c r="C839" s="184"/>
      <c r="E839" s="185"/>
      <c r="F839" s="185"/>
    </row>
    <row r="840" spans="3:6" ht="12.75">
      <c r="C840" s="184"/>
      <c r="E840" s="185"/>
      <c r="F840" s="185"/>
    </row>
    <row r="841" spans="3:6" ht="12.75">
      <c r="C841" s="184"/>
      <c r="E841" s="185"/>
      <c r="F841" s="185"/>
    </row>
    <row r="842" spans="3:6" ht="12.75">
      <c r="C842" s="184"/>
      <c r="E842" s="185"/>
      <c r="F842" s="185"/>
    </row>
    <row r="843" spans="3:6" ht="12.75">
      <c r="C843" s="184"/>
      <c r="E843" s="185"/>
      <c r="F843" s="185"/>
    </row>
    <row r="844" spans="3:6" ht="12.75">
      <c r="C844" s="184"/>
      <c r="E844" s="185"/>
      <c r="F844" s="185"/>
    </row>
    <row r="845" spans="3:6" ht="12.75">
      <c r="C845" s="184"/>
      <c r="E845" s="185"/>
      <c r="F845" s="185"/>
    </row>
    <row r="846" spans="3:6" ht="12.75">
      <c r="C846" s="184"/>
      <c r="E846" s="185"/>
      <c r="F846" s="185"/>
    </row>
    <row r="847" spans="3:6" ht="12.75">
      <c r="C847" s="184"/>
      <c r="E847" s="185"/>
      <c r="F847" s="185"/>
    </row>
    <row r="848" spans="3:6" ht="12.75">
      <c r="C848" s="184"/>
      <c r="E848" s="185"/>
      <c r="F848" s="185"/>
    </row>
    <row r="849" spans="3:6" ht="12.75">
      <c r="C849" s="184"/>
      <c r="E849" s="185"/>
      <c r="F849" s="185"/>
    </row>
    <row r="850" spans="3:6" ht="12.75">
      <c r="C850" s="184"/>
      <c r="E850" s="185"/>
      <c r="F850" s="185"/>
    </row>
    <row r="851" spans="3:6" ht="12.75">
      <c r="C851" s="184"/>
      <c r="E851" s="185"/>
      <c r="F851" s="185"/>
    </row>
    <row r="852" spans="3:6" ht="12.75">
      <c r="C852" s="184"/>
      <c r="E852" s="185"/>
      <c r="F852" s="185"/>
    </row>
    <row r="853" spans="3:6" ht="12.75">
      <c r="C853" s="184"/>
      <c r="E853" s="185"/>
      <c r="F853" s="185"/>
    </row>
    <row r="854" spans="3:6" ht="12.75">
      <c r="C854" s="184"/>
      <c r="E854" s="185"/>
      <c r="F854" s="185"/>
    </row>
    <row r="855" spans="3:6" ht="12.75">
      <c r="C855" s="184"/>
      <c r="E855" s="185"/>
      <c r="F855" s="185"/>
    </row>
    <row r="856" spans="3:6" ht="12.75">
      <c r="C856" s="184"/>
      <c r="E856" s="185"/>
      <c r="F856" s="185"/>
    </row>
    <row r="857" spans="3:6" ht="12.75">
      <c r="C857" s="184"/>
      <c r="E857" s="185"/>
      <c r="F857" s="185"/>
    </row>
    <row r="858" spans="3:6" ht="12.75">
      <c r="C858" s="184"/>
      <c r="E858" s="185"/>
      <c r="F858" s="185"/>
    </row>
    <row r="859" spans="3:6" ht="12.75">
      <c r="C859" s="184"/>
      <c r="E859" s="185"/>
      <c r="F859" s="185"/>
    </row>
    <row r="860" spans="3:6" ht="12.75">
      <c r="C860" s="184"/>
      <c r="E860" s="185"/>
      <c r="F860" s="185"/>
    </row>
    <row r="861" spans="3:6" ht="12.75">
      <c r="C861" s="184"/>
      <c r="E861" s="185"/>
      <c r="F861" s="185"/>
    </row>
    <row r="862" spans="3:6" ht="12.75">
      <c r="C862" s="184"/>
      <c r="E862" s="185"/>
      <c r="F862" s="185"/>
    </row>
    <row r="863" spans="3:6" ht="12.75">
      <c r="C863" s="184"/>
      <c r="E863" s="185"/>
      <c r="F863" s="185"/>
    </row>
    <row r="864" spans="3:6" ht="12.75">
      <c r="C864" s="184"/>
      <c r="E864" s="185"/>
      <c r="F864" s="185"/>
    </row>
    <row r="865" spans="3:6" ht="12.75">
      <c r="C865" s="184"/>
      <c r="E865" s="185"/>
      <c r="F865" s="185"/>
    </row>
    <row r="866" spans="3:6" ht="12.75">
      <c r="C866" s="184"/>
      <c r="E866" s="185"/>
      <c r="F866" s="185"/>
    </row>
    <row r="867" spans="3:6" ht="12.75">
      <c r="C867" s="184"/>
      <c r="E867" s="185"/>
      <c r="F867" s="185"/>
    </row>
    <row r="868" spans="3:6" ht="12.75">
      <c r="C868" s="184"/>
      <c r="E868" s="185"/>
      <c r="F868" s="185"/>
    </row>
    <row r="869" spans="3:6" ht="12.75">
      <c r="C869" s="184"/>
      <c r="E869" s="185"/>
      <c r="F869" s="185"/>
    </row>
    <row r="870" spans="3:6" ht="12.75">
      <c r="C870" s="184"/>
      <c r="E870" s="185"/>
      <c r="F870" s="185"/>
    </row>
    <row r="871" spans="3:6" ht="12.75">
      <c r="C871" s="184"/>
      <c r="E871" s="185"/>
      <c r="F871" s="185"/>
    </row>
    <row r="872" spans="3:6" ht="12.75">
      <c r="C872" s="184"/>
      <c r="E872" s="185"/>
      <c r="F872" s="185"/>
    </row>
    <row r="873" spans="3:6" ht="12.75">
      <c r="C873" s="184"/>
      <c r="E873" s="185"/>
      <c r="F873" s="185"/>
    </row>
    <row r="874" spans="3:6" ht="12.75">
      <c r="C874" s="184"/>
      <c r="E874" s="185"/>
      <c r="F874" s="185"/>
    </row>
    <row r="875" spans="3:6" ht="12.75">
      <c r="C875" s="184"/>
      <c r="E875" s="185"/>
      <c r="F875" s="185"/>
    </row>
    <row r="876" spans="3:6" ht="12.75">
      <c r="C876" s="184"/>
      <c r="E876" s="185"/>
      <c r="F876" s="185"/>
    </row>
    <row r="877" spans="3:6" ht="12.75">
      <c r="C877" s="184"/>
      <c r="E877" s="185"/>
      <c r="F877" s="185"/>
    </row>
    <row r="878" spans="3:6" ht="12.75">
      <c r="C878" s="184"/>
      <c r="E878" s="185"/>
      <c r="F878" s="185"/>
    </row>
    <row r="879" spans="3:6" ht="12.75">
      <c r="C879" s="184"/>
      <c r="E879" s="185"/>
      <c r="F879" s="185"/>
    </row>
    <row r="880" spans="3:6" ht="12.75">
      <c r="C880" s="184"/>
      <c r="E880" s="185"/>
      <c r="F880" s="185"/>
    </row>
    <row r="881" spans="3:6" ht="12.75">
      <c r="C881" s="184"/>
      <c r="E881" s="185"/>
      <c r="F881" s="185"/>
    </row>
    <row r="882" spans="3:6" ht="12.75">
      <c r="C882" s="184"/>
      <c r="E882" s="185"/>
      <c r="F882" s="185"/>
    </row>
    <row r="883" spans="3:6" ht="12.75">
      <c r="C883" s="184"/>
      <c r="E883" s="185"/>
      <c r="F883" s="185"/>
    </row>
    <row r="884" spans="3:6" ht="12.75">
      <c r="C884" s="184"/>
      <c r="E884" s="185"/>
      <c r="F884" s="185"/>
    </row>
    <row r="885" spans="3:6" ht="12.75">
      <c r="C885" s="184"/>
      <c r="E885" s="185"/>
      <c r="F885" s="185"/>
    </row>
    <row r="886" spans="3:6" ht="12.75">
      <c r="C886" s="184"/>
      <c r="E886" s="185"/>
      <c r="F886" s="185"/>
    </row>
    <row r="887" spans="3:6" ht="12.75">
      <c r="C887" s="184"/>
      <c r="E887" s="185"/>
      <c r="F887" s="185"/>
    </row>
    <row r="888" spans="3:6" ht="12.75">
      <c r="C888" s="184"/>
      <c r="E888" s="185"/>
      <c r="F888" s="185"/>
    </row>
    <row r="889" spans="3:6" ht="12.75">
      <c r="C889" s="184"/>
      <c r="E889" s="185"/>
      <c r="F889" s="185"/>
    </row>
    <row r="890" spans="3:6" ht="12.75">
      <c r="C890" s="184"/>
      <c r="E890" s="185"/>
      <c r="F890" s="185"/>
    </row>
    <row r="891" spans="3:6" ht="12.75">
      <c r="C891" s="184"/>
      <c r="E891" s="185"/>
      <c r="F891" s="185"/>
    </row>
    <row r="892" spans="3:6" ht="12.75">
      <c r="C892" s="184"/>
      <c r="E892" s="185"/>
      <c r="F892" s="185"/>
    </row>
    <row r="893" spans="3:6" ht="12.75">
      <c r="C893" s="184"/>
      <c r="E893" s="185"/>
      <c r="F893" s="185"/>
    </row>
    <row r="894" spans="3:6" ht="12.75">
      <c r="C894" s="184"/>
      <c r="E894" s="185"/>
      <c r="F894" s="185"/>
    </row>
    <row r="895" spans="3:6" ht="12.75">
      <c r="C895" s="184"/>
      <c r="E895" s="185"/>
      <c r="F895" s="185"/>
    </row>
    <row r="896" spans="3:6" ht="12.75">
      <c r="C896" s="184"/>
      <c r="E896" s="185"/>
      <c r="F896" s="185"/>
    </row>
    <row r="897" spans="3:6" ht="12.75">
      <c r="C897" s="184"/>
      <c r="E897" s="185"/>
      <c r="F897" s="185"/>
    </row>
    <row r="898" spans="3:6" ht="12.75">
      <c r="C898" s="184"/>
      <c r="E898" s="185"/>
      <c r="F898" s="185"/>
    </row>
    <row r="899" spans="3:6" ht="12.75">
      <c r="C899" s="184"/>
      <c r="E899" s="185"/>
      <c r="F899" s="185"/>
    </row>
    <row r="900" spans="3:6" ht="12.75">
      <c r="C900" s="184"/>
      <c r="E900" s="185"/>
      <c r="F900" s="185"/>
    </row>
    <row r="901" spans="3:6" ht="12.75">
      <c r="C901" s="184"/>
      <c r="E901" s="185"/>
      <c r="F901" s="185"/>
    </row>
    <row r="902" spans="3:6" ht="12.75">
      <c r="C902" s="184"/>
      <c r="E902" s="185"/>
      <c r="F902" s="185"/>
    </row>
    <row r="903" spans="3:6" ht="12.75">
      <c r="C903" s="184"/>
      <c r="E903" s="185"/>
      <c r="F903" s="185"/>
    </row>
    <row r="904" spans="3:6" ht="12.75">
      <c r="C904" s="184"/>
      <c r="E904" s="185"/>
      <c r="F904" s="185"/>
    </row>
    <row r="905" spans="3:6" ht="12.75">
      <c r="C905" s="184"/>
      <c r="E905" s="185"/>
      <c r="F905" s="185"/>
    </row>
    <row r="906" spans="3:6" ht="12.75">
      <c r="C906" s="184"/>
      <c r="E906" s="185"/>
      <c r="F906" s="185"/>
    </row>
    <row r="907" spans="3:6" ht="12.75">
      <c r="C907" s="184"/>
      <c r="E907" s="185"/>
      <c r="F907" s="185"/>
    </row>
    <row r="908" spans="3:6" ht="12.75">
      <c r="C908" s="184"/>
      <c r="E908" s="185"/>
      <c r="F908" s="185"/>
    </row>
    <row r="909" spans="3:6" ht="12.75">
      <c r="C909" s="184"/>
      <c r="E909" s="185"/>
      <c r="F909" s="185"/>
    </row>
    <row r="910" spans="3:6" ht="12.75">
      <c r="C910" s="184"/>
      <c r="E910" s="185"/>
      <c r="F910" s="185"/>
    </row>
    <row r="911" spans="3:6" ht="12.75">
      <c r="C911" s="184"/>
      <c r="E911" s="185"/>
      <c r="F911" s="185"/>
    </row>
    <row r="912" spans="3:6" ht="12.75">
      <c r="C912" s="184"/>
      <c r="E912" s="185"/>
      <c r="F912" s="185"/>
    </row>
    <row r="913" spans="3:6" ht="12.75">
      <c r="C913" s="184"/>
      <c r="E913" s="185"/>
      <c r="F913" s="185"/>
    </row>
    <row r="914" spans="3:6" ht="12.75">
      <c r="C914" s="184"/>
      <c r="E914" s="185"/>
      <c r="F914" s="185"/>
    </row>
    <row r="915" spans="3:6" ht="12.75">
      <c r="C915" s="184"/>
      <c r="E915" s="185"/>
      <c r="F915" s="185"/>
    </row>
    <row r="916" spans="3:6" ht="12.75">
      <c r="C916" s="184"/>
      <c r="E916" s="185"/>
      <c r="F916" s="185"/>
    </row>
    <row r="917" spans="3:6" ht="12.75">
      <c r="C917" s="184"/>
      <c r="E917" s="185"/>
      <c r="F917" s="185"/>
    </row>
    <row r="918" spans="3:6" ht="12.75">
      <c r="C918" s="184"/>
      <c r="E918" s="185"/>
      <c r="F918" s="185"/>
    </row>
    <row r="919" spans="3:6" ht="12.75">
      <c r="C919" s="184"/>
      <c r="E919" s="185"/>
      <c r="F919" s="185"/>
    </row>
    <row r="920" spans="3:6" ht="12.75">
      <c r="C920" s="184"/>
      <c r="E920" s="185"/>
      <c r="F920" s="185"/>
    </row>
    <row r="921" spans="3:6" ht="12.75">
      <c r="C921" s="184"/>
      <c r="E921" s="185"/>
      <c r="F921" s="185"/>
    </row>
    <row r="922" spans="3:6" ht="12.75">
      <c r="C922" s="184"/>
      <c r="E922" s="185"/>
      <c r="F922" s="185"/>
    </row>
    <row r="923" spans="3:6" ht="12.75">
      <c r="C923" s="184"/>
      <c r="E923" s="185"/>
      <c r="F923" s="185"/>
    </row>
    <row r="924" spans="3:6" ht="12.75">
      <c r="C924" s="184"/>
      <c r="E924" s="185"/>
      <c r="F924" s="185"/>
    </row>
    <row r="925" spans="3:6" ht="12.75">
      <c r="C925" s="184"/>
      <c r="E925" s="185"/>
      <c r="F925" s="185"/>
    </row>
    <row r="926" spans="3:6" ht="12.75">
      <c r="C926" s="184"/>
      <c r="E926" s="185"/>
      <c r="F926" s="185"/>
    </row>
    <row r="927" spans="3:6" ht="12.75">
      <c r="C927" s="184"/>
      <c r="E927" s="185"/>
      <c r="F927" s="185"/>
    </row>
    <row r="928" spans="3:6" ht="12.75">
      <c r="C928" s="184"/>
      <c r="E928" s="185"/>
      <c r="F928" s="185"/>
    </row>
    <row r="929" spans="3:6" ht="12.75">
      <c r="C929" s="184"/>
      <c r="E929" s="185"/>
      <c r="F929" s="185"/>
    </row>
    <row r="930" spans="3:6" ht="12.75">
      <c r="C930" s="184"/>
      <c r="E930" s="185"/>
      <c r="F930" s="185"/>
    </row>
    <row r="931" spans="3:6" ht="12.75">
      <c r="C931" s="184"/>
      <c r="E931" s="185"/>
      <c r="F931" s="185"/>
    </row>
    <row r="932" spans="3:6" ht="12.75">
      <c r="C932" s="184"/>
      <c r="E932" s="185"/>
      <c r="F932" s="185"/>
    </row>
    <row r="933" spans="3:6" ht="12.75">
      <c r="C933" s="184"/>
      <c r="E933" s="185"/>
      <c r="F933" s="185"/>
    </row>
    <row r="934" spans="3:6" ht="12.75">
      <c r="C934" s="184"/>
      <c r="E934" s="185"/>
      <c r="F934" s="185"/>
    </row>
    <row r="935" spans="3:6" ht="12.75">
      <c r="C935" s="184"/>
      <c r="E935" s="185"/>
      <c r="F935" s="185"/>
    </row>
    <row r="936" spans="3:6" ht="12.75">
      <c r="C936" s="184"/>
      <c r="E936" s="185"/>
      <c r="F936" s="185"/>
    </row>
    <row r="937" spans="3:6" ht="12.75">
      <c r="C937" s="184"/>
      <c r="E937" s="185"/>
      <c r="F937" s="185"/>
    </row>
    <row r="938" spans="3:6" ht="12.75">
      <c r="C938" s="184"/>
      <c r="E938" s="185"/>
      <c r="F938" s="185"/>
    </row>
    <row r="939" spans="3:6" ht="12.75">
      <c r="C939" s="184"/>
      <c r="E939" s="185"/>
      <c r="F939" s="185"/>
    </row>
    <row r="940" spans="3:6" ht="12.75">
      <c r="C940" s="184"/>
      <c r="E940" s="185"/>
      <c r="F940" s="185"/>
    </row>
    <row r="941" spans="3:6" ht="12.75">
      <c r="C941" s="184"/>
      <c r="E941" s="185"/>
      <c r="F941" s="185"/>
    </row>
    <row r="942" spans="3:6" ht="12.75">
      <c r="C942" s="184"/>
      <c r="E942" s="185"/>
      <c r="F942" s="185"/>
    </row>
    <row r="943" spans="3:6" ht="12.75">
      <c r="C943" s="184"/>
      <c r="E943" s="185"/>
      <c r="F943" s="185"/>
    </row>
    <row r="944" spans="3:6" ht="12.75">
      <c r="C944" s="184"/>
      <c r="E944" s="185"/>
      <c r="F944" s="185"/>
    </row>
    <row r="945" spans="3:6" ht="12.75">
      <c r="C945" s="184"/>
      <c r="E945" s="185"/>
      <c r="F945" s="185"/>
    </row>
    <row r="946" spans="3:6" ht="12.75">
      <c r="C946" s="184"/>
      <c r="E946" s="185"/>
      <c r="F946" s="185"/>
    </row>
    <row r="947" spans="3:6" ht="12.75">
      <c r="C947" s="184"/>
      <c r="E947" s="185"/>
      <c r="F947" s="185"/>
    </row>
    <row r="948" spans="3:6" ht="12.75">
      <c r="C948" s="184"/>
      <c r="E948" s="185"/>
      <c r="F948" s="185"/>
    </row>
    <row r="949" spans="3:6" ht="12.75">
      <c r="C949" s="184"/>
      <c r="E949" s="185"/>
      <c r="F949" s="185"/>
    </row>
    <row r="950" spans="3:6" ht="12.75">
      <c r="C950" s="184"/>
      <c r="E950" s="185"/>
      <c r="F950" s="185"/>
    </row>
    <row r="951" spans="3:6" ht="12.75">
      <c r="C951" s="184"/>
      <c r="E951" s="185"/>
      <c r="F951" s="185"/>
    </row>
    <row r="952" spans="3:6" ht="12.75">
      <c r="C952" s="184"/>
      <c r="E952" s="185"/>
      <c r="F952" s="185"/>
    </row>
    <row r="953" spans="3:6" ht="12.75">
      <c r="C953" s="184"/>
      <c r="E953" s="185"/>
      <c r="F953" s="185"/>
    </row>
    <row r="954" spans="3:6" ht="12.75">
      <c r="C954" s="184"/>
      <c r="E954" s="185"/>
      <c r="F954" s="185"/>
    </row>
    <row r="955" spans="3:6" ht="12.75">
      <c r="C955" s="184"/>
      <c r="E955" s="185"/>
      <c r="F955" s="185"/>
    </row>
    <row r="956" spans="3:6" ht="12.75">
      <c r="C956" s="184"/>
      <c r="E956" s="185"/>
      <c r="F956" s="185"/>
    </row>
    <row r="957" spans="3:6" ht="12.75">
      <c r="C957" s="184"/>
      <c r="E957" s="185"/>
      <c r="F957" s="185"/>
    </row>
    <row r="958" spans="3:6" ht="12.75">
      <c r="C958" s="184"/>
      <c r="E958" s="185"/>
      <c r="F958" s="185"/>
    </row>
    <row r="959" spans="3:6" ht="12.75">
      <c r="C959" s="184"/>
      <c r="E959" s="185"/>
      <c r="F959" s="185"/>
    </row>
    <row r="960" spans="3:6" ht="12.75">
      <c r="C960" s="184"/>
      <c r="E960" s="185"/>
      <c r="F960" s="185"/>
    </row>
    <row r="961" spans="3:6" ht="12.75">
      <c r="C961" s="184"/>
      <c r="E961" s="185"/>
      <c r="F961" s="185"/>
    </row>
    <row r="962" spans="3:6" ht="12.75">
      <c r="C962" s="184"/>
      <c r="E962" s="185"/>
      <c r="F962" s="185"/>
    </row>
    <row r="963" spans="3:6" ht="12.75">
      <c r="C963" s="184"/>
      <c r="E963" s="185"/>
      <c r="F963" s="185"/>
    </row>
    <row r="964" spans="3:6" ht="12.75">
      <c r="C964" s="184"/>
      <c r="E964" s="185"/>
      <c r="F964" s="185"/>
    </row>
    <row r="965" spans="3:6" ht="12.75">
      <c r="C965" s="184"/>
      <c r="E965" s="185"/>
      <c r="F965" s="185"/>
    </row>
    <row r="966" spans="3:6" ht="12.75">
      <c r="C966" s="184"/>
      <c r="E966" s="185"/>
      <c r="F966" s="185"/>
    </row>
    <row r="967" spans="3:6" ht="12.75">
      <c r="C967" s="184"/>
      <c r="E967" s="185"/>
      <c r="F967" s="185"/>
    </row>
    <row r="968" spans="3:6" ht="12.75">
      <c r="C968" s="184"/>
      <c r="E968" s="185"/>
      <c r="F968" s="185"/>
    </row>
    <row r="969" spans="3:6" ht="12.75">
      <c r="C969" s="184"/>
      <c r="E969" s="185"/>
      <c r="F969" s="185"/>
    </row>
    <row r="970" spans="3:6" ht="12.75">
      <c r="C970" s="184"/>
      <c r="E970" s="185"/>
      <c r="F970" s="185"/>
    </row>
    <row r="971" spans="3:6" ht="12.75">
      <c r="C971" s="184"/>
      <c r="E971" s="185"/>
      <c r="F971" s="185"/>
    </row>
    <row r="972" spans="3:6" ht="12.75">
      <c r="C972" s="184"/>
      <c r="E972" s="185"/>
      <c r="F972" s="185"/>
    </row>
    <row r="973" spans="3:6" ht="12.75">
      <c r="C973" s="184"/>
      <c r="E973" s="185"/>
      <c r="F973" s="185"/>
    </row>
    <row r="974" spans="3:6" ht="12.75">
      <c r="C974" s="184"/>
      <c r="E974" s="185"/>
      <c r="F974" s="185"/>
    </row>
    <row r="975" spans="3:6" ht="12.75">
      <c r="C975" s="184"/>
      <c r="E975" s="185"/>
      <c r="F975" s="185"/>
    </row>
    <row r="976" spans="3:6" ht="12.75">
      <c r="C976" s="184"/>
      <c r="E976" s="185"/>
      <c r="F976" s="185"/>
    </row>
    <row r="977" spans="3:6" ht="12.75">
      <c r="C977" s="184"/>
      <c r="E977" s="185"/>
      <c r="F977" s="185"/>
    </row>
    <row r="978" spans="3:6" ht="12.75">
      <c r="C978" s="184"/>
      <c r="E978" s="185"/>
      <c r="F978" s="185"/>
    </row>
    <row r="979" spans="3:6" ht="12.75">
      <c r="C979" s="184"/>
      <c r="E979" s="185"/>
      <c r="F979" s="185"/>
    </row>
    <row r="980" spans="3:6" ht="12.75">
      <c r="C980" s="184"/>
      <c r="E980" s="185"/>
      <c r="F980" s="185"/>
    </row>
    <row r="981" spans="3:6" ht="12.75">
      <c r="C981" s="184"/>
      <c r="E981" s="185"/>
      <c r="F981" s="185"/>
    </row>
    <row r="982" spans="3:6" ht="12.75">
      <c r="C982" s="184"/>
      <c r="E982" s="185"/>
      <c r="F982" s="185"/>
    </row>
    <row r="983" spans="3:6" ht="12.75">
      <c r="C983" s="184"/>
      <c r="E983" s="185"/>
      <c r="F983" s="185"/>
    </row>
    <row r="984" spans="3:6" ht="12.75">
      <c r="C984" s="184"/>
      <c r="E984" s="185"/>
      <c r="F984" s="185"/>
    </row>
    <row r="985" spans="3:6" ht="12.75">
      <c r="C985" s="184"/>
      <c r="E985" s="185"/>
      <c r="F985" s="185"/>
    </row>
    <row r="986" spans="3:6" ht="12.75">
      <c r="C986" s="184"/>
      <c r="E986" s="185"/>
      <c r="F986" s="185"/>
    </row>
    <row r="987" spans="3:6" ht="12.75">
      <c r="C987" s="184"/>
      <c r="E987" s="185"/>
      <c r="F987" s="185"/>
    </row>
    <row r="988" spans="3:6" ht="12.75">
      <c r="C988" s="184"/>
      <c r="E988" s="185"/>
      <c r="F988" s="185"/>
    </row>
    <row r="989" spans="3:6" ht="12.75">
      <c r="C989" s="184"/>
      <c r="E989" s="185"/>
      <c r="F989" s="185"/>
    </row>
    <row r="990" spans="3:6" ht="12.75">
      <c r="C990" s="184"/>
      <c r="E990" s="185"/>
      <c r="F990" s="185"/>
    </row>
    <row r="991" spans="3:6" ht="12.75">
      <c r="C991" s="184"/>
      <c r="E991" s="185"/>
      <c r="F991" s="185"/>
    </row>
    <row r="992" spans="3:6" ht="12.75">
      <c r="C992" s="184"/>
      <c r="E992" s="185"/>
      <c r="F992" s="185"/>
    </row>
    <row r="993" spans="3:6" ht="12.75">
      <c r="C993" s="184"/>
      <c r="E993" s="185"/>
      <c r="F993" s="185"/>
    </row>
    <row r="994" spans="3:6" ht="12.75">
      <c r="C994" s="184"/>
      <c r="E994" s="185"/>
      <c r="F994" s="185"/>
    </row>
    <row r="995" spans="3:6" ht="12.75">
      <c r="C995" s="184"/>
      <c r="E995" s="185"/>
      <c r="F995" s="185"/>
    </row>
    <row r="996" spans="3:6" ht="12.75">
      <c r="C996" s="184"/>
      <c r="E996" s="185"/>
      <c r="F996" s="185"/>
    </row>
    <row r="997" spans="3:6" ht="12.75">
      <c r="C997" s="184"/>
      <c r="E997" s="185"/>
      <c r="F997" s="185"/>
    </row>
    <row r="998" spans="3:6" ht="12.75">
      <c r="C998" s="184"/>
      <c r="E998" s="185"/>
      <c r="F998" s="185"/>
    </row>
    <row r="999" spans="3:6" ht="12.75">
      <c r="C999" s="184"/>
      <c r="E999" s="185"/>
      <c r="F999" s="185"/>
    </row>
    <row r="1000" spans="3:6" ht="12.75">
      <c r="C1000" s="184"/>
      <c r="E1000" s="185"/>
      <c r="F1000" s="185"/>
    </row>
    <row r="1001" spans="3:6" ht="12.75">
      <c r="C1001" s="184"/>
      <c r="E1001" s="185"/>
      <c r="F1001" s="185"/>
    </row>
    <row r="1002" spans="3:6" ht="12.75">
      <c r="C1002" s="184"/>
      <c r="E1002" s="185"/>
      <c r="F1002" s="185"/>
    </row>
    <row r="1003" spans="3:6" ht="12.75">
      <c r="C1003" s="184"/>
      <c r="E1003" s="185"/>
      <c r="F1003" s="185"/>
    </row>
    <row r="1004" spans="3:6" ht="12.75">
      <c r="C1004" s="184"/>
      <c r="E1004" s="185"/>
      <c r="F1004" s="185"/>
    </row>
    <row r="1005" spans="3:6" ht="12.75">
      <c r="C1005" s="184"/>
      <c r="E1005" s="185"/>
      <c r="F1005" s="185"/>
    </row>
    <row r="1006" spans="3:6" ht="12.75">
      <c r="C1006" s="184"/>
      <c r="E1006" s="185"/>
      <c r="F1006" s="185"/>
    </row>
    <row r="1007" spans="3:6" ht="12.75">
      <c r="C1007" s="184"/>
      <c r="E1007" s="185"/>
      <c r="F1007" s="185"/>
    </row>
    <row r="1008" spans="3:6" ht="12.75">
      <c r="C1008" s="184"/>
      <c r="E1008" s="185"/>
      <c r="F1008" s="185"/>
    </row>
    <row r="1009" spans="3:6" ht="12.75">
      <c r="C1009" s="184"/>
      <c r="E1009" s="185"/>
      <c r="F1009" s="185"/>
    </row>
    <row r="1010" spans="3:6" ht="12.75">
      <c r="C1010" s="184"/>
      <c r="E1010" s="185"/>
      <c r="F1010" s="185"/>
    </row>
    <row r="1011" spans="3:6" ht="12.75">
      <c r="C1011" s="184"/>
      <c r="E1011" s="185"/>
      <c r="F1011" s="185"/>
    </row>
    <row r="1012" spans="3:6" ht="12.75">
      <c r="C1012" s="184"/>
      <c r="E1012" s="185"/>
      <c r="F1012" s="185"/>
    </row>
    <row r="1013" spans="3:6" ht="12.75">
      <c r="C1013" s="184"/>
      <c r="E1013" s="185"/>
      <c r="F1013" s="185"/>
    </row>
    <row r="1014" spans="3:6" ht="12.75">
      <c r="C1014" s="184"/>
      <c r="E1014" s="185"/>
      <c r="F1014" s="185"/>
    </row>
    <row r="1015" spans="3:6" ht="12.75">
      <c r="C1015" s="184"/>
      <c r="E1015" s="185"/>
      <c r="F1015" s="185"/>
    </row>
    <row r="1016" spans="3:6" ht="12.75">
      <c r="C1016" s="184"/>
      <c r="E1016" s="185"/>
      <c r="F1016" s="185"/>
    </row>
    <row r="1017" spans="3:6" ht="12.75">
      <c r="C1017" s="184"/>
      <c r="E1017" s="185"/>
      <c r="F1017" s="185"/>
    </row>
    <row r="1018" spans="3:6" ht="12.75">
      <c r="C1018" s="184"/>
      <c r="E1018" s="185"/>
      <c r="F1018" s="185"/>
    </row>
    <row r="1019" spans="3:6" ht="12.75">
      <c r="C1019" s="184"/>
      <c r="E1019" s="185"/>
      <c r="F1019" s="185"/>
    </row>
    <row r="1020" spans="3:6" ht="12.75">
      <c r="C1020" s="184"/>
      <c r="E1020" s="185"/>
      <c r="F1020" s="185"/>
    </row>
    <row r="1021" spans="3:6" ht="12.75">
      <c r="C1021" s="184"/>
      <c r="E1021" s="185"/>
      <c r="F1021" s="185"/>
    </row>
    <row r="1022" spans="3:6" ht="12.75">
      <c r="C1022" s="184"/>
      <c r="E1022" s="185"/>
      <c r="F1022" s="185"/>
    </row>
    <row r="1023" spans="3:6" ht="12.75">
      <c r="C1023" s="184"/>
      <c r="E1023" s="185"/>
      <c r="F1023" s="185"/>
    </row>
    <row r="1024" spans="3:6" ht="12.75">
      <c r="C1024" s="184"/>
      <c r="E1024" s="185"/>
      <c r="F1024" s="185"/>
    </row>
    <row r="1025" spans="3:6" ht="12.75">
      <c r="C1025" s="184"/>
      <c r="E1025" s="185"/>
      <c r="F1025" s="185"/>
    </row>
    <row r="1026" spans="3:6" ht="12.75">
      <c r="C1026" s="184"/>
      <c r="E1026" s="185"/>
      <c r="F1026" s="185"/>
    </row>
    <row r="1027" spans="3:6" ht="12.75">
      <c r="C1027" s="184"/>
      <c r="E1027" s="185"/>
      <c r="F1027" s="185"/>
    </row>
    <row r="1028" spans="3:6" ht="12.75">
      <c r="C1028" s="184"/>
      <c r="E1028" s="185"/>
      <c r="F1028" s="185"/>
    </row>
    <row r="1029" spans="3:6" ht="12.75">
      <c r="C1029" s="184"/>
      <c r="E1029" s="185"/>
      <c r="F1029" s="185"/>
    </row>
    <row r="1030" spans="3:6" ht="12.75">
      <c r="C1030" s="184"/>
      <c r="E1030" s="185"/>
      <c r="F1030" s="185"/>
    </row>
    <row r="1031" spans="3:6" ht="12.75">
      <c r="C1031" s="184"/>
      <c r="E1031" s="185"/>
      <c r="F1031" s="185"/>
    </row>
    <row r="1032" spans="3:6" ht="12.75">
      <c r="C1032" s="184"/>
      <c r="E1032" s="185"/>
      <c r="F1032" s="185"/>
    </row>
  </sheetData>
  <mergeCells count="2">
    <mergeCell ref="A2:C2"/>
    <mergeCell ref="A28:D28"/>
  </mergeCells>
  <conditionalFormatting sqref="E3:F8 E10:E33 F10:F20 F22:F35 E37:E44 F37:F45 F49 E51:F56">
    <cfRule type="notContainsBlanks" dxfId="0" priority="1">
      <formula>LEN(TRIM(E3))&gt;0</formula>
    </cfRule>
  </conditionalFormatting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N41"/>
  <sheetViews>
    <sheetView workbookViewId="0"/>
  </sheetViews>
  <sheetFormatPr baseColWidth="10" defaultColWidth="14.42578125" defaultRowHeight="15.75" customHeight="1"/>
  <cols>
    <col min="4" max="4" width="60.5703125" customWidth="1"/>
    <col min="5" max="5" width="32.5703125" customWidth="1"/>
    <col min="6" max="6" width="38.140625" customWidth="1"/>
    <col min="7" max="7" width="31.85546875" customWidth="1"/>
    <col min="8" max="8" width="31.42578125" customWidth="1"/>
    <col min="9" max="9" width="26.5703125" customWidth="1"/>
    <col min="10" max="10" width="22" customWidth="1"/>
    <col min="11" max="11" width="20.28515625" customWidth="1"/>
    <col min="12" max="12" width="22.85546875" customWidth="1"/>
    <col min="13" max="13" width="15.28515625" customWidth="1"/>
    <col min="14" max="14" width="16.28515625" customWidth="1"/>
  </cols>
  <sheetData>
    <row r="1" spans="3:6" ht="15.75" customHeight="1">
      <c r="C1" s="2"/>
      <c r="D1" s="221"/>
      <c r="E1" s="63"/>
      <c r="F1" s="11"/>
    </row>
    <row r="2" spans="3:6" ht="15.75" customHeight="1">
      <c r="C2" s="2"/>
      <c r="D2" s="222" t="s">
        <v>293</v>
      </c>
      <c r="E2" s="14"/>
      <c r="F2" s="11" t="s">
        <v>294</v>
      </c>
    </row>
    <row r="3" spans="3:6" ht="15.75" customHeight="1">
      <c r="C3" s="2"/>
      <c r="F3" s="2" t="s">
        <v>295</v>
      </c>
    </row>
    <row r="4" spans="3:6" ht="15.75" customHeight="1">
      <c r="C4" s="2"/>
      <c r="D4" s="222"/>
    </row>
    <row r="5" spans="3:6" ht="15.75" customHeight="1">
      <c r="C5" s="2"/>
      <c r="D5" s="222"/>
      <c r="E5" s="14"/>
    </row>
    <row r="6" spans="3:6" ht="15.75" customHeight="1">
      <c r="C6" s="2"/>
      <c r="D6" s="222" t="s">
        <v>296</v>
      </c>
      <c r="E6" s="14"/>
      <c r="F6" s="2" t="s">
        <v>297</v>
      </c>
    </row>
    <row r="7" spans="3:6" ht="15.75" customHeight="1">
      <c r="C7" s="2"/>
      <c r="D7" s="222"/>
      <c r="E7" s="14"/>
      <c r="F7" s="11" t="s">
        <v>298</v>
      </c>
    </row>
    <row r="8" spans="3:6" ht="15.75" customHeight="1">
      <c r="C8" s="2"/>
      <c r="D8" s="222"/>
      <c r="E8" s="14"/>
      <c r="F8" s="11"/>
    </row>
    <row r="9" spans="3:6" ht="15.75" customHeight="1">
      <c r="C9" s="2"/>
      <c r="D9" s="222" t="s">
        <v>299</v>
      </c>
      <c r="E9" s="14"/>
      <c r="F9" s="11" t="s">
        <v>300</v>
      </c>
    </row>
    <row r="10" spans="3:6" ht="15.75" customHeight="1">
      <c r="C10" s="2"/>
      <c r="D10" s="222" t="s">
        <v>301</v>
      </c>
      <c r="E10" s="63"/>
      <c r="F10" s="11"/>
    </row>
    <row r="11" spans="3:6" ht="15.75" customHeight="1">
      <c r="C11" s="2"/>
      <c r="D11" s="222" t="s">
        <v>302</v>
      </c>
      <c r="E11" s="63"/>
      <c r="F11" s="11"/>
    </row>
    <row r="12" spans="3:6" ht="15.75" customHeight="1">
      <c r="C12" s="2"/>
      <c r="D12" s="222" t="s">
        <v>303</v>
      </c>
      <c r="E12" s="63"/>
      <c r="F12" s="11"/>
    </row>
    <row r="13" spans="3:6" ht="15.75" customHeight="1">
      <c r="C13" s="2"/>
      <c r="D13" s="222" t="s">
        <v>304</v>
      </c>
      <c r="E13" s="63"/>
      <c r="F13" s="11"/>
    </row>
    <row r="14" spans="3:6" ht="15.75" customHeight="1">
      <c r="C14" s="2"/>
      <c r="D14" s="223"/>
      <c r="E14" s="53"/>
      <c r="F14" s="11"/>
    </row>
    <row r="15" spans="3:6" ht="15.75" customHeight="1">
      <c r="C15" s="2"/>
      <c r="D15" s="223" t="s">
        <v>305</v>
      </c>
      <c r="E15" s="53"/>
      <c r="F15" s="224" t="s">
        <v>306</v>
      </c>
    </row>
    <row r="16" spans="3:6" ht="12.75">
      <c r="D16" s="8"/>
    </row>
    <row r="17" spans="4:14" ht="12.75">
      <c r="D17" s="8"/>
    </row>
    <row r="18" spans="4:14" ht="15">
      <c r="D18" s="225" t="s">
        <v>307</v>
      </c>
      <c r="E18" s="45" t="s">
        <v>308</v>
      </c>
    </row>
    <row r="19" spans="4:14" ht="12.75">
      <c r="E19" s="107" t="s">
        <v>309</v>
      </c>
      <c r="F19" s="14" t="s">
        <v>310</v>
      </c>
      <c r="G19" s="2" t="s">
        <v>229</v>
      </c>
    </row>
    <row r="20" spans="4:14" ht="12.75">
      <c r="E20" s="63" t="s">
        <v>311</v>
      </c>
      <c r="F20" s="30">
        <f>+L25</f>
        <v>390.69600000000003</v>
      </c>
      <c r="G20" s="226">
        <f>+M25</f>
        <v>451.81691981952002</v>
      </c>
      <c r="H20" s="227"/>
    </row>
    <row r="21" spans="4:14" ht="12.75">
      <c r="E21" s="229"/>
      <c r="F21" s="230"/>
      <c r="G21" s="8"/>
      <c r="H21" s="231"/>
      <c r="M21" s="319" t="s">
        <v>229</v>
      </c>
    </row>
    <row r="22" spans="4:14" ht="12.75">
      <c r="E22" s="229"/>
      <c r="F22" s="232"/>
      <c r="G22" s="8"/>
      <c r="H22" s="231"/>
      <c r="I22" s="45"/>
      <c r="J22" s="14"/>
      <c r="K22" s="2"/>
      <c r="L22" s="2" t="s">
        <v>312</v>
      </c>
      <c r="M22" s="14" t="s">
        <v>382</v>
      </c>
      <c r="N22" s="14"/>
    </row>
    <row r="23" spans="4:14" ht="12.75">
      <c r="E23" s="229"/>
      <c r="F23" s="233"/>
      <c r="G23" s="8"/>
      <c r="H23" s="231"/>
      <c r="I23" s="234"/>
      <c r="J23" s="235"/>
      <c r="L23" s="14"/>
      <c r="M23" s="3"/>
      <c r="N23" s="3"/>
    </row>
    <row r="24" spans="4:14" ht="12.75">
      <c r="E24" s="24"/>
      <c r="F24" s="236"/>
      <c r="G24" s="28"/>
      <c r="H24" s="231"/>
      <c r="I24" s="234"/>
      <c r="J24" s="235"/>
      <c r="L24" s="14"/>
      <c r="M24" s="3"/>
      <c r="N24" s="3"/>
    </row>
    <row r="25" spans="4:14" ht="15">
      <c r="D25" s="237" t="s">
        <v>313</v>
      </c>
      <c r="E25" s="238" t="s">
        <v>314</v>
      </c>
      <c r="F25" s="240" t="s">
        <v>315</v>
      </c>
      <c r="G25" s="179"/>
      <c r="H25" s="179"/>
      <c r="I25" s="242"/>
      <c r="J25" s="235"/>
      <c r="K25" s="245"/>
      <c r="L25" s="22">
        <v>390.69600000000003</v>
      </c>
      <c r="M25" s="175">
        <f>L25*1.15644112</f>
        <v>451.81691981952002</v>
      </c>
      <c r="N25" s="175"/>
    </row>
    <row r="26" spans="4:14" ht="12.75">
      <c r="D26" s="312" t="s">
        <v>322</v>
      </c>
      <c r="E26" s="310" t="s">
        <v>323</v>
      </c>
      <c r="F26" s="306"/>
      <c r="G26" s="14"/>
      <c r="H26" s="14"/>
    </row>
    <row r="27" spans="4:14" ht="12.75">
      <c r="D27" s="287"/>
      <c r="E27" s="248" t="s">
        <v>325</v>
      </c>
      <c r="F27" s="250">
        <v>382.75</v>
      </c>
      <c r="G27" s="14"/>
      <c r="H27" s="14"/>
      <c r="K27" s="2"/>
      <c r="L27" s="251"/>
    </row>
    <row r="28" spans="4:14" ht="12.75">
      <c r="D28" s="287"/>
      <c r="E28" s="248" t="s">
        <v>326</v>
      </c>
      <c r="F28" s="252">
        <v>300</v>
      </c>
      <c r="G28" s="14"/>
      <c r="H28" s="14"/>
      <c r="K28" s="2"/>
      <c r="L28" s="254"/>
    </row>
    <row r="29" spans="4:14" ht="12.75">
      <c r="D29" s="287"/>
      <c r="E29" s="255" t="s">
        <v>327</v>
      </c>
      <c r="F29" s="259">
        <f>(F28*F27)/1000</f>
        <v>114.825</v>
      </c>
      <c r="G29" s="14"/>
      <c r="H29" s="14"/>
      <c r="K29" s="2"/>
      <c r="L29" s="254"/>
    </row>
    <row r="30" spans="4:14" ht="12.75">
      <c r="D30" s="247" t="s">
        <v>330</v>
      </c>
      <c r="E30" s="261"/>
      <c r="F30" s="263">
        <v>155</v>
      </c>
      <c r="G30" s="14"/>
      <c r="H30" s="14"/>
    </row>
    <row r="31" spans="4:14" ht="12.75">
      <c r="D31" s="247" t="s">
        <v>383</v>
      </c>
      <c r="E31" s="266"/>
      <c r="F31" s="267">
        <f>G20-(F29+F30)</f>
        <v>181.99191981952004</v>
      </c>
      <c r="G31" s="14"/>
      <c r="H31" s="14"/>
    </row>
    <row r="32" spans="4:14" ht="15">
      <c r="D32" s="268" t="s">
        <v>337</v>
      </c>
      <c r="E32" s="269"/>
      <c r="F32" s="270">
        <f>(F29+F30+F31)</f>
        <v>451.81691981952002</v>
      </c>
      <c r="G32" s="14"/>
      <c r="H32" s="14"/>
      <c r="I32" s="65" t="s">
        <v>336</v>
      </c>
      <c r="J32" s="215"/>
      <c r="K32" s="215"/>
    </row>
    <row r="33" spans="3:11" ht="12.75">
      <c r="G33" s="14"/>
      <c r="H33" s="14"/>
      <c r="I33" s="271">
        <v>1</v>
      </c>
      <c r="J33" s="272">
        <v>1.1626823100000001</v>
      </c>
      <c r="K33" s="45" t="s">
        <v>198</v>
      </c>
    </row>
    <row r="34" spans="3:11" ht="12.75">
      <c r="F34" s="2"/>
      <c r="G34" s="14"/>
      <c r="H34" s="14"/>
    </row>
    <row r="35" spans="3:11" ht="12.75">
      <c r="C35" s="2"/>
      <c r="D35" s="24"/>
      <c r="E35" s="2"/>
      <c r="H35" s="273"/>
      <c r="I35" s="14"/>
    </row>
    <row r="36" spans="3:11" ht="12.75">
      <c r="C36" s="2"/>
      <c r="F36" s="14"/>
      <c r="G36" s="14"/>
      <c r="H36" s="2"/>
      <c r="I36" s="14"/>
    </row>
    <row r="37" spans="3:11" ht="12.75">
      <c r="C37" s="2"/>
      <c r="D37" s="229"/>
      <c r="E37" s="14"/>
      <c r="F37" s="2"/>
      <c r="G37" s="14"/>
      <c r="H37" s="311"/>
      <c r="I37" s="14"/>
    </row>
    <row r="38" spans="3:11" ht="12.75">
      <c r="C38" s="2"/>
      <c r="D38" s="229"/>
      <c r="E38" s="14"/>
      <c r="F38" s="2"/>
      <c r="G38" s="3"/>
      <c r="H38" s="287"/>
      <c r="I38" s="14"/>
    </row>
    <row r="39" spans="3:11" ht="12.75">
      <c r="C39" s="2"/>
      <c r="D39" s="24"/>
      <c r="H39" s="273"/>
      <c r="I39" s="14"/>
    </row>
    <row r="40" spans="3:11" ht="12.75">
      <c r="C40" s="2"/>
      <c r="D40" s="24"/>
      <c r="H40" s="273"/>
      <c r="I40" s="14"/>
    </row>
    <row r="41" spans="3:11" ht="12.75">
      <c r="C41" s="2"/>
      <c r="D41" s="229"/>
      <c r="E41" s="276"/>
      <c r="F41" s="26"/>
      <c r="G41" s="50"/>
      <c r="H41" s="273"/>
      <c r="I41" s="14"/>
    </row>
  </sheetData>
  <mergeCells count="3">
    <mergeCell ref="E26:F26"/>
    <mergeCell ref="H37:H38"/>
    <mergeCell ref="D26:D2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BUDGET</vt:lpstr>
      <vt:lpstr>Primary Guides</vt:lpstr>
      <vt:lpstr>Primary slit</vt:lpstr>
      <vt:lpstr>Detectors</vt:lpstr>
      <vt:lpstr>Analyzer</vt:lpstr>
      <vt:lpstr>Primary Choppers</vt:lpstr>
      <vt:lpstr>Sample environment</vt:lpstr>
      <vt:lpstr>Secondary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paula</cp:lastModifiedBy>
  <dcterms:created xsi:type="dcterms:W3CDTF">2016-10-17T10:08:52Z</dcterms:created>
  <dcterms:modified xsi:type="dcterms:W3CDTF">2016-10-17T10:08:52Z</dcterms:modified>
</cp:coreProperties>
</file>