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720" yWindow="520" windowWidth="22760" windowHeight="13460" activeTab="1"/>
  </bookViews>
  <sheets>
    <sheet name="12M€" sheetId="1" r:id="rId1"/>
    <sheet name="SSR costing 12M€" sheetId="2" r:id="rId2"/>
    <sheet name="OPTION 2" sheetId="4" r:id="rId3"/>
    <sheet name="SSR costing OPT2" sheetId="6" r:id="rId4"/>
    <sheet name="OPTION 3" sheetId="5" r:id="rId5"/>
    <sheet name="SSR costing OPT3" sheetId="7" r:id="rId6"/>
    <sheet name="Sheet3" sheetId="3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5" l="1"/>
  <c r="G23" i="5"/>
  <c r="G24" i="5"/>
  <c r="K7" i="7"/>
  <c r="G7" i="7"/>
  <c r="J7" i="7"/>
  <c r="G6" i="5"/>
  <c r="G7" i="5"/>
  <c r="G8" i="5"/>
  <c r="G64" i="5"/>
  <c r="G66" i="5"/>
  <c r="K5" i="7"/>
  <c r="G104" i="5"/>
  <c r="G105" i="5"/>
  <c r="G106" i="5"/>
  <c r="G107" i="5"/>
  <c r="G108" i="5"/>
  <c r="G109" i="5"/>
  <c r="G110" i="5"/>
  <c r="G94" i="5"/>
  <c r="G100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52" i="5"/>
  <c r="G53" i="5"/>
  <c r="G54" i="5"/>
  <c r="G55" i="5"/>
  <c r="G56" i="5"/>
  <c r="G57" i="5"/>
  <c r="E58" i="5"/>
  <c r="G58" i="5"/>
  <c r="G59" i="5"/>
  <c r="G60" i="5"/>
  <c r="G61" i="5"/>
  <c r="G62" i="5"/>
  <c r="G68" i="5"/>
  <c r="G38" i="5"/>
  <c r="G39" i="5"/>
  <c r="G40" i="5"/>
  <c r="G41" i="5"/>
  <c r="G42" i="5"/>
  <c r="G43" i="5"/>
  <c r="G44" i="5"/>
  <c r="G45" i="5"/>
  <c r="G46" i="5"/>
  <c r="G48" i="5"/>
  <c r="F27" i="5"/>
  <c r="G27" i="5"/>
  <c r="G28" i="5"/>
  <c r="G29" i="5"/>
  <c r="G31" i="5"/>
  <c r="G32" i="5"/>
  <c r="G35" i="5"/>
  <c r="G117" i="5"/>
  <c r="L17" i="7"/>
  <c r="K15" i="7"/>
  <c r="K14" i="7"/>
  <c r="H14" i="7"/>
  <c r="K13" i="7"/>
  <c r="K11" i="7"/>
  <c r="K10" i="7"/>
  <c r="K9" i="7"/>
  <c r="K8" i="7"/>
  <c r="K6" i="7"/>
  <c r="I22" i="7"/>
  <c r="H22" i="7"/>
  <c r="G22" i="7"/>
  <c r="F22" i="7"/>
  <c r="E22" i="7"/>
  <c r="J19" i="7"/>
  <c r="D16" i="7"/>
  <c r="D17" i="7"/>
  <c r="I16" i="7"/>
  <c r="I17" i="7"/>
  <c r="H15" i="7"/>
  <c r="E15" i="7"/>
  <c r="G14" i="7"/>
  <c r="H13" i="7"/>
  <c r="E13" i="7"/>
  <c r="H12" i="7"/>
  <c r="G12" i="7"/>
  <c r="F12" i="7"/>
  <c r="E12" i="7"/>
  <c r="J12" i="7"/>
  <c r="H11" i="7"/>
  <c r="G10" i="7"/>
  <c r="E10" i="7"/>
  <c r="J10" i="7"/>
  <c r="E8" i="7"/>
  <c r="J8" i="7"/>
  <c r="H6" i="7"/>
  <c r="F6" i="7"/>
  <c r="E6" i="7"/>
  <c r="G13" i="4"/>
  <c r="G23" i="4"/>
  <c r="K7" i="6"/>
  <c r="G7" i="6"/>
  <c r="G32" i="4"/>
  <c r="G52" i="4"/>
  <c r="G53" i="4"/>
  <c r="G54" i="4"/>
  <c r="G55" i="4"/>
  <c r="G56" i="4"/>
  <c r="G57" i="4"/>
  <c r="E58" i="4"/>
  <c r="G58" i="4"/>
  <c r="G59" i="4"/>
  <c r="G60" i="4"/>
  <c r="G61" i="4"/>
  <c r="G62" i="4"/>
  <c r="K9" i="6"/>
  <c r="H9" i="6"/>
  <c r="G104" i="4"/>
  <c r="G105" i="4"/>
  <c r="G106" i="4"/>
  <c r="G107" i="4"/>
  <c r="G108" i="4"/>
  <c r="G109" i="4"/>
  <c r="G110" i="4"/>
  <c r="G94" i="4"/>
  <c r="G100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64" i="4"/>
  <c r="G66" i="4"/>
  <c r="G68" i="4"/>
  <c r="G38" i="4"/>
  <c r="G39" i="4"/>
  <c r="G40" i="4"/>
  <c r="G41" i="4"/>
  <c r="G42" i="4"/>
  <c r="G43" i="4"/>
  <c r="G44" i="4"/>
  <c r="G45" i="4"/>
  <c r="G46" i="4"/>
  <c r="G48" i="4"/>
  <c r="G6" i="4"/>
  <c r="G7" i="4"/>
  <c r="G8" i="4"/>
  <c r="F27" i="4"/>
  <c r="G27" i="4"/>
  <c r="G28" i="4"/>
  <c r="G29" i="4"/>
  <c r="G31" i="4"/>
  <c r="G35" i="4"/>
  <c r="G117" i="4"/>
  <c r="L17" i="6"/>
  <c r="K15" i="6"/>
  <c r="E15" i="6"/>
  <c r="K14" i="6"/>
  <c r="K13" i="6"/>
  <c r="K11" i="6"/>
  <c r="K10" i="6"/>
  <c r="G10" i="6"/>
  <c r="K8" i="6"/>
  <c r="K6" i="6"/>
  <c r="K5" i="6"/>
  <c r="K17" i="6"/>
  <c r="I22" i="6"/>
  <c r="H22" i="6"/>
  <c r="G22" i="6"/>
  <c r="F22" i="6"/>
  <c r="E22" i="6"/>
  <c r="J19" i="6"/>
  <c r="D16" i="6"/>
  <c r="D17" i="6"/>
  <c r="I16" i="6"/>
  <c r="I17" i="6"/>
  <c r="H14" i="6"/>
  <c r="E14" i="6"/>
  <c r="H13" i="6"/>
  <c r="G13" i="6"/>
  <c r="E13" i="6"/>
  <c r="H12" i="6"/>
  <c r="G12" i="6"/>
  <c r="F12" i="6"/>
  <c r="E12" i="6"/>
  <c r="J12" i="6"/>
  <c r="H11" i="6"/>
  <c r="G11" i="6"/>
  <c r="G9" i="6"/>
  <c r="J9" i="6"/>
  <c r="E8" i="6"/>
  <c r="G119" i="4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4" i="1"/>
  <c r="K13" i="2"/>
  <c r="G33" i="1"/>
  <c r="G109" i="1"/>
  <c r="G108" i="1"/>
  <c r="G107" i="1"/>
  <c r="G106" i="1"/>
  <c r="G105" i="1"/>
  <c r="G104" i="1"/>
  <c r="F16" i="7"/>
  <c r="F17" i="7"/>
  <c r="J9" i="7"/>
  <c r="K17" i="7"/>
  <c r="E5" i="7"/>
  <c r="E14" i="7"/>
  <c r="E16" i="7"/>
  <c r="J14" i="7"/>
  <c r="H16" i="7"/>
  <c r="H17" i="7"/>
  <c r="G6" i="7"/>
  <c r="J6" i="7"/>
  <c r="G11" i="7"/>
  <c r="J11" i="7"/>
  <c r="G13" i="7"/>
  <c r="J13" i="7"/>
  <c r="G15" i="7"/>
  <c r="J15" i="7"/>
  <c r="D20" i="7"/>
  <c r="G5" i="7"/>
  <c r="E6" i="6"/>
  <c r="J8" i="6"/>
  <c r="G15" i="6"/>
  <c r="H15" i="6"/>
  <c r="J15" i="6"/>
  <c r="F6" i="6"/>
  <c r="E10" i="6"/>
  <c r="J10" i="6"/>
  <c r="J13" i="6"/>
  <c r="G6" i="6"/>
  <c r="J7" i="6"/>
  <c r="J11" i="6"/>
  <c r="D20" i="6"/>
  <c r="G5" i="6"/>
  <c r="H6" i="6"/>
  <c r="J6" i="6"/>
  <c r="F5" i="6"/>
  <c r="H5" i="6"/>
  <c r="G14" i="6"/>
  <c r="J14" i="6"/>
  <c r="E5" i="6"/>
  <c r="E17" i="7"/>
  <c r="J5" i="7"/>
  <c r="D22" i="7"/>
  <c r="J20" i="7"/>
  <c r="J22" i="7"/>
  <c r="G16" i="7"/>
  <c r="G17" i="7"/>
  <c r="F16" i="6"/>
  <c r="F17" i="6"/>
  <c r="J5" i="6"/>
  <c r="E16" i="6"/>
  <c r="E17" i="6"/>
  <c r="G16" i="6"/>
  <c r="G17" i="6"/>
  <c r="H16" i="6"/>
  <c r="H17" i="6"/>
  <c r="D22" i="6"/>
  <c r="J20" i="6"/>
  <c r="J22" i="6"/>
  <c r="J16" i="7"/>
  <c r="J16" i="6"/>
  <c r="J17" i="7"/>
  <c r="J17" i="6"/>
  <c r="F24" i="6"/>
  <c r="I24" i="6"/>
  <c r="D24" i="6"/>
  <c r="G24" i="6"/>
  <c r="E24" i="6"/>
  <c r="H24" i="7"/>
  <c r="J24" i="7"/>
  <c r="F24" i="7"/>
  <c r="D24" i="7"/>
  <c r="E24" i="7"/>
  <c r="G24" i="7"/>
  <c r="I24" i="7"/>
  <c r="J24" i="6"/>
  <c r="H24" i="6"/>
  <c r="G119" i="5"/>
  <c r="F27" i="1"/>
  <c r="G27" i="1"/>
  <c r="G28" i="1"/>
  <c r="G29" i="1"/>
  <c r="G31" i="1"/>
  <c r="K6" i="2"/>
  <c r="G6" i="2"/>
  <c r="G13" i="1"/>
  <c r="G23" i="1"/>
  <c r="K7" i="2"/>
  <c r="G7" i="2"/>
  <c r="G12" i="2"/>
  <c r="K14" i="2"/>
  <c r="G14" i="2"/>
  <c r="G6" i="1"/>
  <c r="G7" i="1"/>
  <c r="G8" i="1"/>
  <c r="G64" i="1"/>
  <c r="G66" i="1"/>
  <c r="K5" i="2"/>
  <c r="G5" i="2"/>
  <c r="E55" i="1"/>
  <c r="E128" i="5"/>
  <c r="E144" i="5"/>
  <c r="E143" i="5"/>
  <c r="G15" i="5"/>
  <c r="G14" i="5"/>
  <c r="E128" i="4"/>
  <c r="E144" i="4"/>
  <c r="E143" i="4"/>
  <c r="G15" i="4"/>
  <c r="G14" i="4"/>
  <c r="H12" i="2"/>
  <c r="F12" i="2"/>
  <c r="E12" i="2"/>
  <c r="K10" i="2"/>
  <c r="G10" i="2"/>
  <c r="K15" i="2"/>
  <c r="G15" i="2"/>
  <c r="H14" i="2"/>
  <c r="G38" i="1"/>
  <c r="K11" i="2"/>
  <c r="G11" i="2"/>
  <c r="E7" i="2"/>
  <c r="H6" i="2"/>
  <c r="J19" i="2"/>
  <c r="I16" i="2"/>
  <c r="I17" i="2"/>
  <c r="D16" i="2"/>
  <c r="D17" i="2"/>
  <c r="D20" i="2"/>
  <c r="G119" i="1"/>
  <c r="E128" i="1"/>
  <c r="G110" i="1"/>
  <c r="E144" i="1"/>
  <c r="G100" i="1"/>
  <c r="E143" i="1"/>
  <c r="G62" i="1"/>
  <c r="G60" i="1"/>
  <c r="G59" i="1"/>
  <c r="E58" i="1"/>
  <c r="G58" i="1"/>
  <c r="G57" i="1"/>
  <c r="G56" i="1"/>
  <c r="G55" i="1"/>
  <c r="G54" i="1"/>
  <c r="G53" i="1"/>
  <c r="G52" i="1"/>
  <c r="G46" i="1"/>
  <c r="G45" i="1"/>
  <c r="G44" i="1"/>
  <c r="G43" i="1"/>
  <c r="G42" i="1"/>
  <c r="G41" i="1"/>
  <c r="G40" i="1"/>
  <c r="G39" i="1"/>
  <c r="G32" i="1"/>
  <c r="G15" i="1"/>
  <c r="G14" i="1"/>
  <c r="G35" i="1"/>
  <c r="E139" i="1"/>
  <c r="E140" i="5"/>
  <c r="E141" i="5"/>
  <c r="E139" i="5"/>
  <c r="E142" i="5"/>
  <c r="E140" i="4"/>
  <c r="E139" i="4"/>
  <c r="E141" i="4"/>
  <c r="E142" i="4"/>
  <c r="H5" i="2"/>
  <c r="H11" i="2"/>
  <c r="E15" i="2"/>
  <c r="E6" i="2"/>
  <c r="H15" i="2"/>
  <c r="E14" i="2"/>
  <c r="E10" i="2"/>
  <c r="J10" i="2"/>
  <c r="F5" i="2"/>
  <c r="F6" i="2"/>
  <c r="E5" i="2"/>
  <c r="H7" i="2"/>
  <c r="J20" i="2"/>
  <c r="J12" i="2"/>
  <c r="G48" i="1"/>
  <c r="K8" i="2"/>
  <c r="G61" i="1"/>
  <c r="E8" i="2"/>
  <c r="G8" i="2"/>
  <c r="J11" i="2"/>
  <c r="E142" i="1"/>
  <c r="G68" i="1"/>
  <c r="E141" i="1"/>
  <c r="K9" i="2"/>
  <c r="G9" i="2"/>
  <c r="H8" i="2"/>
  <c r="J8" i="2"/>
  <c r="E126" i="5"/>
  <c r="E146" i="5"/>
  <c r="E146" i="4"/>
  <c r="G121" i="4"/>
  <c r="E130" i="4"/>
  <c r="J14" i="2"/>
  <c r="J7" i="2"/>
  <c r="J6" i="2"/>
  <c r="J15" i="2"/>
  <c r="E140" i="1"/>
  <c r="E146" i="1"/>
  <c r="G117" i="1"/>
  <c r="G121" i="1"/>
  <c r="E13" i="2"/>
  <c r="H13" i="2"/>
  <c r="G13" i="2"/>
  <c r="K17" i="2"/>
  <c r="H9" i="2"/>
  <c r="G16" i="2"/>
  <c r="G17" i="2"/>
  <c r="E9" i="2"/>
  <c r="E16" i="2"/>
  <c r="E17" i="2"/>
  <c r="G121" i="5"/>
  <c r="E130" i="5"/>
  <c r="E132" i="5"/>
  <c r="E126" i="4"/>
  <c r="E132" i="4"/>
  <c r="G123" i="4"/>
  <c r="F128" i="4"/>
  <c r="E130" i="1"/>
  <c r="L17" i="2"/>
  <c r="E126" i="1"/>
  <c r="G123" i="1"/>
  <c r="H16" i="2"/>
  <c r="H17" i="2"/>
  <c r="J13" i="2"/>
  <c r="J9" i="2"/>
  <c r="E132" i="1"/>
  <c r="G123" i="5"/>
  <c r="F128" i="5"/>
  <c r="F128" i="1"/>
  <c r="N17" i="2"/>
  <c r="F16" i="2"/>
  <c r="F17" i="2"/>
  <c r="J5" i="2"/>
  <c r="J16" i="2"/>
  <c r="J17" i="2"/>
  <c r="M17" i="2"/>
</calcChain>
</file>

<file path=xl/comments1.xml><?xml version="1.0" encoding="utf-8"?>
<comments xmlns="http://schemas.openxmlformats.org/spreadsheetml/2006/main">
  <authors>
    <author>Di Fresco, Lorenzo (-,RAL,ISIS)</author>
  </authors>
  <commentList>
    <comment ref="D76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Backend electronics</t>
        </r>
      </text>
    </comment>
  </commentList>
</comments>
</file>

<file path=xl/comments2.xml><?xml version="1.0" encoding="utf-8"?>
<comments xmlns="http://schemas.openxmlformats.org/spreadsheetml/2006/main">
  <authors>
    <author>Di Fresco, Lorenzo (-,RAL,ISIS)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Beamshielding, shutter, caveshielding, beamstop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include sample changer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include shipping
</t>
        </r>
      </text>
    </comment>
  </commentList>
</comments>
</file>

<file path=xl/comments3.xml><?xml version="1.0" encoding="utf-8"?>
<comments xmlns="http://schemas.openxmlformats.org/spreadsheetml/2006/main">
  <authors>
    <author>Di Fresco, Lorenzo (-,RAL,ISIS)</author>
  </authors>
  <commentList>
    <comment ref="D76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Backend electronics</t>
        </r>
      </text>
    </comment>
  </commentList>
</comments>
</file>

<file path=xl/comments4.xml><?xml version="1.0" encoding="utf-8"?>
<comments xmlns="http://schemas.openxmlformats.org/spreadsheetml/2006/main">
  <authors>
    <author>Di Fresco, Lorenzo (-,RAL,ISIS)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Beamshielding, shutter, caveshielding, beamstop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include sample changer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include shipping
</t>
        </r>
      </text>
    </comment>
  </commentList>
</comments>
</file>

<file path=xl/comments5.xml><?xml version="1.0" encoding="utf-8"?>
<comments xmlns="http://schemas.openxmlformats.org/spreadsheetml/2006/main">
  <authors>
    <author>Di Fresco, Lorenzo (-,RAL,ISIS)</author>
  </authors>
  <commentList>
    <comment ref="D76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Backend electronics</t>
        </r>
      </text>
    </comment>
  </commentList>
</comments>
</file>

<file path=xl/comments6.xml><?xml version="1.0" encoding="utf-8"?>
<comments xmlns="http://schemas.openxmlformats.org/spreadsheetml/2006/main">
  <authors>
    <author>Di Fresco, Lorenzo (-,RAL,ISIS)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Beamshielding, shutter, caveshielding, beamstop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include sample changer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Di Fresco, Lorenzo (-,RAL,ISIS):</t>
        </r>
        <r>
          <rPr>
            <sz val="9"/>
            <color indexed="81"/>
            <rFont val="Tahoma"/>
            <family val="2"/>
          </rPr>
          <t xml:space="preserve">
include shipping
</t>
        </r>
      </text>
    </comment>
  </commentList>
</comments>
</file>

<file path=xl/sharedStrings.xml><?xml version="1.0" encoding="utf-8"?>
<sst xmlns="http://schemas.openxmlformats.org/spreadsheetml/2006/main" count="427" uniqueCount="127">
  <si>
    <t>Q.ty</t>
  </si>
  <si>
    <t>cost [k€]</t>
  </si>
  <si>
    <t>PBS 13.6.16.1 Beam Transport &amp; Conditioning System (BTCS)</t>
  </si>
  <si>
    <t>Shielding  (44 m)</t>
  </si>
  <si>
    <t>steel</t>
  </si>
  <si>
    <t>[m^3]</t>
  </si>
  <si>
    <t>concrete</t>
  </si>
  <si>
    <t>Shutter</t>
  </si>
  <si>
    <t>heavy shutter</t>
  </si>
  <si>
    <t>Choppers System</t>
  </si>
  <si>
    <t>Peter's</t>
  </si>
  <si>
    <t>WFM PSC  inside bunker</t>
  </si>
  <si>
    <t>FOC inside Bunker</t>
  </si>
  <si>
    <t>s FOC</t>
  </si>
  <si>
    <t>Power x 12 axis (rack power system)</t>
  </si>
  <si>
    <t>Chopper Drive x 12 axis</t>
  </si>
  <si>
    <t>Rack Master</t>
  </si>
  <si>
    <t>Rack slave</t>
  </si>
  <si>
    <t>CHIM x 3 WFM PSC over under in-bunker</t>
  </si>
  <si>
    <t>CHIM other choppers</t>
  </si>
  <si>
    <t>Vacuum system/flanges/tubes/controls</t>
  </si>
  <si>
    <t>PROMPT PULSE SUPPRESSION</t>
  </si>
  <si>
    <t>Neutron Guides</t>
  </si>
  <si>
    <t>Elliptic guide m=4</t>
  </si>
  <si>
    <t>The steel blocks supporting the guide are machined steels block included in the cost of the shielding ,  for a total volume of steel of 0.4x1.5x50 (30) cubic meter</t>
  </si>
  <si>
    <t>Straight guide m=4</t>
  </si>
  <si>
    <t>Housing + coating</t>
  </si>
  <si>
    <t>Mechanics</t>
  </si>
  <si>
    <t>Beam flux monitors</t>
  </si>
  <si>
    <t>Vecuum window/flanges/flexibles</t>
  </si>
  <si>
    <t>PBS 13.6.16.2  Sample Exposure System (SES)</t>
  </si>
  <si>
    <t>Sample Alignment</t>
  </si>
  <si>
    <t>Cryostat (10-300 k)</t>
  </si>
  <si>
    <t>Sample Changer</t>
  </si>
  <si>
    <t>Imaging x positioning</t>
  </si>
  <si>
    <t>Sample vessel</t>
  </si>
  <si>
    <t>cooling unit x laser light equipment</t>
  </si>
  <si>
    <t>sample sticks x various exp</t>
  </si>
  <si>
    <t>PBS 13.6.16.3 Scattering Characterization System (SCS)</t>
  </si>
  <si>
    <t>Analyzers and diff banks</t>
  </si>
  <si>
    <t>Be=filter</t>
  </si>
  <si>
    <t>HOPG</t>
  </si>
  <si>
    <t>CCR</t>
  </si>
  <si>
    <t>3He Detector tube (1/2''x6'')</t>
  </si>
  <si>
    <t>He tubes x diffract</t>
  </si>
  <si>
    <t>B4C shielding panel</t>
  </si>
  <si>
    <t>Helium liters</t>
  </si>
  <si>
    <t>cables</t>
  </si>
  <si>
    <t>frames</t>
  </si>
  <si>
    <t>s-total</t>
  </si>
  <si>
    <t>Beam monitor (flux,div, wave)</t>
  </si>
  <si>
    <t>BeamStop</t>
  </si>
  <si>
    <t>Shielding/background</t>
  </si>
  <si>
    <t xml:space="preserve">PBS 13.6.16.5 Experimental Cave(EC) </t>
  </si>
  <si>
    <t>Cave 11x5 sqm</t>
  </si>
  <si>
    <t>exp hutch top load spectr</t>
  </si>
  <si>
    <t>Lighting. Misc services</t>
  </si>
  <si>
    <t>Water &amp; Compressed Air</t>
  </si>
  <si>
    <t>He gas supply</t>
  </si>
  <si>
    <t>Chilled water</t>
  </si>
  <si>
    <t xml:space="preserve">Gates, </t>
  </si>
  <si>
    <t>Local crane</t>
  </si>
  <si>
    <t>Lifting frames</t>
  </si>
  <si>
    <t>Painting</t>
  </si>
  <si>
    <t>signage</t>
  </si>
  <si>
    <t>water panels / service panels</t>
  </si>
  <si>
    <t xml:space="preserve">PBS 13.6.16.6 Control Hutch (CH) </t>
  </si>
  <si>
    <t>Air Conditioning</t>
  </si>
  <si>
    <t>Stairs etc</t>
  </si>
  <si>
    <t>Monitoring Oxygen etc</t>
  </si>
  <si>
    <t>Fire suppression</t>
  </si>
  <si>
    <t>DAE</t>
  </si>
  <si>
    <t>Computers</t>
  </si>
  <si>
    <t>PBS 13.6.16.12 IC&amp;M</t>
  </si>
  <si>
    <t>PSS + interlocks</t>
  </si>
  <si>
    <t>PSS e interlock  verify double counting</t>
  </si>
  <si>
    <t>Driver Controls</t>
  </si>
  <si>
    <t>PC % system monitors</t>
  </si>
  <si>
    <t>Backup power supply</t>
  </si>
  <si>
    <t>Standalone mode</t>
  </si>
  <si>
    <t>electrical cabling</t>
  </si>
  <si>
    <t>Instrument Cost: Equipment</t>
  </si>
  <si>
    <r>
      <t>Labour Cost (</t>
    </r>
    <r>
      <rPr>
        <sz val="11"/>
        <color theme="1"/>
        <rFont val="Calibri"/>
        <family val="2"/>
      </rPr>
      <t>~27</t>
    </r>
    <r>
      <rPr>
        <sz val="11"/>
        <color theme="1"/>
        <rFont val="Calibri"/>
        <family val="2"/>
        <scheme val="minor"/>
      </rPr>
      <t xml:space="preserve"> manyears)&amp;travel</t>
    </r>
  </si>
  <si>
    <t>shipping</t>
  </si>
  <si>
    <t>Contingency 10%</t>
  </si>
  <si>
    <t>VESPA TOTAL COST</t>
  </si>
  <si>
    <t>Equipment</t>
  </si>
  <si>
    <r>
      <t>Labour</t>
    </r>
    <r>
      <rPr>
        <sz val="11"/>
        <color theme="1"/>
        <rFont val="Calibri"/>
        <family val="2"/>
        <scheme val="minor"/>
      </rPr>
      <t xml:space="preserve"> &amp; travel</t>
    </r>
  </si>
  <si>
    <t xml:space="preserve">Contingency </t>
  </si>
  <si>
    <t xml:space="preserve"> BTCS</t>
  </si>
  <si>
    <t>SES</t>
  </si>
  <si>
    <t>SCS</t>
  </si>
  <si>
    <t>EC</t>
  </si>
  <si>
    <t>CH</t>
  </si>
  <si>
    <t>IC&amp;M</t>
  </si>
  <si>
    <t>jaws</t>
  </si>
  <si>
    <t>ESS LABOUR</t>
  </si>
  <si>
    <t>01 Phase 1</t>
  </si>
  <si>
    <t>02 Project Management &amp; Integration</t>
  </si>
  <si>
    <t>03 Design</t>
  </si>
  <si>
    <t>04 Procurement &amp; Fabrication</t>
  </si>
  <si>
    <t>05 Installation</t>
  </si>
  <si>
    <t>06 Cold Commissioning</t>
  </si>
  <si>
    <t>Total</t>
  </si>
  <si>
    <t>01 Shielding</t>
  </si>
  <si>
    <t>02 Neutron Optics</t>
  </si>
  <si>
    <t>03 Choppers</t>
  </si>
  <si>
    <t>04 Sample Environment</t>
  </si>
  <si>
    <t>05 Detector and Beam Monitors</t>
  </si>
  <si>
    <t>06 Data Acquisition and Analysis</t>
  </si>
  <si>
    <t>07 Motion Control and Automation</t>
  </si>
  <si>
    <t>08 Instrument Specific Technical Equipment</t>
  </si>
  <si>
    <t>09 Instrument Infrastructure</t>
  </si>
  <si>
    <t>10 Vacuum</t>
  </si>
  <si>
    <t>11 PSS</t>
  </si>
  <si>
    <t>12 Contingency</t>
  </si>
  <si>
    <t xml:space="preserve">Total </t>
  </si>
  <si>
    <t>Labour included in above (Person-Years)</t>
  </si>
  <si>
    <t>[%]</t>
  </si>
  <si>
    <t>SHIPPING</t>
  </si>
  <si>
    <t xml:space="preserve">Gas adsorption equipment and photoexcitation setup </t>
  </si>
  <si>
    <t>Labour/shipping included in above</t>
  </si>
  <si>
    <t>Backend electronics /UPS</t>
  </si>
  <si>
    <t>ESS LABOUR (7m/y)</t>
  </si>
  <si>
    <r>
      <t>Labour Cost (</t>
    </r>
    <r>
      <rPr>
        <sz val="11"/>
        <color theme="1"/>
        <rFont val="Calibri"/>
        <family val="2"/>
      </rPr>
      <t>~28</t>
    </r>
    <r>
      <rPr>
        <sz val="11"/>
        <color theme="1"/>
        <rFont val="Calibri"/>
        <family val="2"/>
        <scheme val="minor"/>
      </rPr>
      <t xml:space="preserve"> manyears)&amp;travel</t>
    </r>
  </si>
  <si>
    <r>
      <t>Labour Cost (</t>
    </r>
    <r>
      <rPr>
        <sz val="11"/>
        <color theme="1"/>
        <rFont val="Calibri"/>
        <family val="2"/>
      </rPr>
      <t>~31</t>
    </r>
    <r>
      <rPr>
        <sz val="11"/>
        <color theme="1"/>
        <rFont val="Calibri"/>
        <family val="2"/>
        <scheme val="minor"/>
      </rPr>
      <t xml:space="preserve"> manyears)&amp;travel</t>
    </r>
  </si>
  <si>
    <t xml:space="preserve">Electrical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</si>
</sst>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[$k€-1]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0" fontId="0" fillId="0" borderId="9" xfId="0" applyBorder="1"/>
    <xf numFmtId="0" fontId="0" fillId="0" borderId="0" xfId="0" applyBorder="1"/>
    <xf numFmtId="2" fontId="3" fillId="3" borderId="10" xfId="0" applyNumberFormat="1" applyFont="1" applyFill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0" fillId="0" borderId="0" xfId="0" applyFill="1" applyBorder="1"/>
    <xf numFmtId="2" fontId="2" fillId="3" borderId="10" xfId="0" applyNumberFormat="1" applyFont="1" applyFill="1" applyBorder="1" applyAlignment="1">
      <alignment horizontal="right" vertical="center"/>
    </xf>
    <xf numFmtId="0" fontId="0" fillId="0" borderId="7" xfId="0" applyBorder="1"/>
    <xf numFmtId="0" fontId="0" fillId="0" borderId="11" xfId="0" applyBorder="1" applyAlignment="1">
      <alignment horizontal="center" vertical="center"/>
    </xf>
    <xf numFmtId="2" fontId="0" fillId="0" borderId="0" xfId="0" applyNumberFormat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2" fontId="0" fillId="5" borderId="8" xfId="0" applyNumberForma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2" fontId="0" fillId="6" borderId="0" xfId="0" applyNumberFormat="1" applyFill="1" applyBorder="1" applyAlignment="1">
      <alignment horizontal="right" vertical="center"/>
    </xf>
    <xf numFmtId="2" fontId="3" fillId="7" borderId="18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" fontId="3" fillId="8" borderId="10" xfId="0" applyNumberFormat="1" applyFont="1" applyFill="1" applyBorder="1" applyAlignment="1">
      <alignment horizontal="right" vertical="center"/>
    </xf>
    <xf numFmtId="2" fontId="3" fillId="9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2" fontId="3" fillId="10" borderId="10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3" fillId="11" borderId="10" xfId="0" applyNumberFormat="1" applyFont="1" applyFill="1" applyBorder="1" applyAlignment="1">
      <alignment horizontal="right" vertical="center"/>
    </xf>
    <xf numFmtId="2" fontId="0" fillId="11" borderId="8" xfId="0" applyNumberFormat="1" applyFill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0" fillId="8" borderId="8" xfId="0" applyNumberFormat="1" applyFill="1" applyBorder="1" applyAlignment="1">
      <alignment horizontal="right" vertical="center"/>
    </xf>
    <xf numFmtId="2" fontId="0" fillId="12" borderId="8" xfId="0" applyNumberFormat="1" applyFill="1" applyBorder="1" applyAlignment="1">
      <alignment horizontal="right" vertical="center"/>
    </xf>
    <xf numFmtId="0" fontId="0" fillId="0" borderId="11" xfId="0" applyBorder="1"/>
    <xf numFmtId="0" fontId="0" fillId="0" borderId="16" xfId="0" applyBorder="1" applyAlignment="1">
      <alignment vertical="top"/>
    </xf>
    <xf numFmtId="0" fontId="0" fillId="13" borderId="0" xfId="0" applyFill="1" applyAlignment="1">
      <alignment horizontal="center" vertical="center"/>
    </xf>
    <xf numFmtId="0" fontId="0" fillId="0" borderId="24" xfId="0" applyBorder="1"/>
    <xf numFmtId="0" fontId="0" fillId="12" borderId="4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right" vertical="center"/>
    </xf>
    <xf numFmtId="0" fontId="0" fillId="0" borderId="3" xfId="0" applyBorder="1"/>
    <xf numFmtId="0" fontId="0" fillId="15" borderId="4" xfId="0" applyFill="1" applyBorder="1" applyAlignment="1">
      <alignment horizontal="center" vertical="center"/>
    </xf>
    <xf numFmtId="0" fontId="2" fillId="0" borderId="0" xfId="0" applyFont="1" applyBorder="1"/>
    <xf numFmtId="0" fontId="0" fillId="9" borderId="8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15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25" xfId="0" applyFont="1" applyBorder="1" applyAlignment="1">
      <alignment horizontal="left" vertical="center" wrapText="1" readingOrder="1"/>
    </xf>
    <xf numFmtId="0" fontId="8" fillId="0" borderId="25" xfId="0" applyFont="1" applyBorder="1" applyAlignment="1">
      <alignment horizontal="center" vertical="center" wrapText="1" readingOrder="1"/>
    </xf>
    <xf numFmtId="0" fontId="8" fillId="0" borderId="26" xfId="0" applyFont="1" applyBorder="1" applyAlignment="1">
      <alignment horizontal="center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0" fontId="8" fillId="0" borderId="28" xfId="0" applyFont="1" applyBorder="1" applyAlignment="1">
      <alignment horizontal="center" vertical="center" wrapText="1" readingOrder="1"/>
    </xf>
    <xf numFmtId="0" fontId="8" fillId="0" borderId="30" xfId="0" applyFont="1" applyBorder="1" applyAlignment="1">
      <alignment horizontal="center" vertical="center" wrapText="1" readingOrder="1"/>
    </xf>
    <xf numFmtId="3" fontId="7" fillId="0" borderId="25" xfId="0" applyNumberFormat="1" applyFont="1" applyBorder="1" applyAlignment="1">
      <alignment horizontal="center" vertical="center" wrapText="1" readingOrder="1"/>
    </xf>
    <xf numFmtId="3" fontId="7" fillId="0" borderId="26" xfId="0" applyNumberFormat="1" applyFont="1" applyBorder="1" applyAlignment="1">
      <alignment horizontal="center" vertical="center" wrapText="1" readingOrder="1"/>
    </xf>
    <xf numFmtId="3" fontId="8" fillId="0" borderId="27" xfId="0" applyNumberFormat="1" applyFont="1" applyBorder="1" applyAlignment="1">
      <alignment horizontal="center" vertical="center" wrapText="1" readingOrder="1"/>
    </xf>
    <xf numFmtId="0" fontId="8" fillId="0" borderId="33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2" fontId="0" fillId="0" borderId="0" xfId="0" applyNumberFormat="1"/>
    <xf numFmtId="2" fontId="1" fillId="11" borderId="21" xfId="0" applyNumberFormat="1" applyFont="1" applyFill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9" borderId="15" xfId="0" applyFill="1" applyBorder="1" applyAlignment="1">
      <alignment horizontal="center" vertical="center"/>
    </xf>
    <xf numFmtId="0" fontId="0" fillId="0" borderId="23" xfId="0" applyBorder="1"/>
    <xf numFmtId="0" fontId="0" fillId="0" borderId="34" xfId="0" applyBorder="1"/>
    <xf numFmtId="165" fontId="7" fillId="0" borderId="25" xfId="0" applyNumberFormat="1" applyFont="1" applyBorder="1" applyAlignment="1">
      <alignment horizontal="center" vertical="center" wrapText="1" readingOrder="1"/>
    </xf>
    <xf numFmtId="9" fontId="0" fillId="0" borderId="0" xfId="0" applyNumberFormat="1"/>
    <xf numFmtId="165" fontId="0" fillId="0" borderId="0" xfId="0" applyNumberFormat="1"/>
    <xf numFmtId="165" fontId="7" fillId="0" borderId="26" xfId="0" applyNumberFormat="1" applyFont="1" applyBorder="1" applyAlignment="1">
      <alignment horizontal="center" vertical="center" wrapText="1" readingOrder="1"/>
    </xf>
    <xf numFmtId="165" fontId="8" fillId="0" borderId="27" xfId="0" applyNumberFormat="1" applyFont="1" applyBorder="1" applyAlignment="1">
      <alignment horizontal="center" vertical="center" wrapText="1" readingOrder="1"/>
    </xf>
    <xf numFmtId="165" fontId="8" fillId="0" borderId="28" xfId="0" applyNumberFormat="1" applyFont="1" applyBorder="1" applyAlignment="1">
      <alignment horizontal="center" vertical="center" wrapText="1" readingOrder="1"/>
    </xf>
    <xf numFmtId="165" fontId="8" fillId="0" borderId="29" xfId="0" applyNumberFormat="1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 wrapText="1" readingOrder="1"/>
    </xf>
    <xf numFmtId="3" fontId="8" fillId="0" borderId="31" xfId="0" applyNumberFormat="1" applyFont="1" applyBorder="1" applyAlignment="1">
      <alignment horizontal="center" vertical="center" wrapText="1" readingOrder="1"/>
    </xf>
    <xf numFmtId="3" fontId="8" fillId="0" borderId="32" xfId="0" applyNumberFormat="1" applyFont="1" applyBorder="1" applyAlignment="1">
      <alignment horizontal="center" vertical="center" wrapText="1" readingOrder="1"/>
    </xf>
    <xf numFmtId="165" fontId="8" fillId="0" borderId="30" xfId="0" applyNumberFormat="1" applyFont="1" applyBorder="1" applyAlignment="1">
      <alignment horizontal="center" vertical="center" wrapText="1" readingOrder="1"/>
    </xf>
    <xf numFmtId="165" fontId="8" fillId="0" borderId="31" xfId="0" applyNumberFormat="1" applyFont="1" applyBorder="1" applyAlignment="1">
      <alignment horizontal="center" vertical="center" wrapText="1" readingOrder="1"/>
    </xf>
    <xf numFmtId="165" fontId="8" fillId="0" borderId="32" xfId="0" applyNumberFormat="1" applyFont="1" applyBorder="1" applyAlignment="1">
      <alignment horizontal="center" vertical="center" wrapText="1" readingOrder="1"/>
    </xf>
    <xf numFmtId="2" fontId="0" fillId="0" borderId="8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I146"/>
  <sheetViews>
    <sheetView topLeftCell="A103" workbookViewId="0">
      <selection activeCell="D76" sqref="D76"/>
    </sheetView>
  </sheetViews>
  <sheetFormatPr baseColWidth="10" defaultColWidth="8.83203125" defaultRowHeight="14" x14ac:dyDescent="0"/>
  <cols>
    <col min="4" max="4" width="49.33203125" bestFit="1" customWidth="1"/>
    <col min="9" max="9" width="35.6640625" bestFit="1" customWidth="1"/>
  </cols>
  <sheetData>
    <row r="3" spans="3:8">
      <c r="E3" s="1"/>
      <c r="F3" s="1"/>
      <c r="G3" s="2"/>
      <c r="H3" s="1"/>
    </row>
    <row r="4" spans="3:8" ht="15" thickBot="1">
      <c r="E4" s="3" t="s">
        <v>0</v>
      </c>
      <c r="F4" s="1"/>
      <c r="G4" s="4" t="s">
        <v>1</v>
      </c>
      <c r="H4" s="1"/>
    </row>
    <row r="5" spans="3:8" ht="15" thickBot="1">
      <c r="C5" s="99" t="s">
        <v>2</v>
      </c>
      <c r="D5" s="5" t="s">
        <v>3</v>
      </c>
      <c r="E5" s="6"/>
      <c r="F5" s="6"/>
      <c r="G5" s="7"/>
      <c r="H5" s="1"/>
    </row>
    <row r="6" spans="3:8">
      <c r="C6" s="100"/>
      <c r="D6" s="8" t="s">
        <v>4</v>
      </c>
      <c r="E6" s="9">
        <v>70</v>
      </c>
      <c r="F6" s="10" t="s">
        <v>5</v>
      </c>
      <c r="G6" s="11">
        <f>15*E6</f>
        <v>1050</v>
      </c>
      <c r="H6" s="1"/>
    </row>
    <row r="7" spans="3:8" ht="15" thickBot="1">
      <c r="C7" s="100"/>
      <c r="D7" s="12" t="s">
        <v>6</v>
      </c>
      <c r="E7" s="9">
        <v>120</v>
      </c>
      <c r="F7" s="10" t="s">
        <v>5</v>
      </c>
      <c r="G7" s="11">
        <f>0.8*E7</f>
        <v>96</v>
      </c>
      <c r="H7" s="1"/>
    </row>
    <row r="8" spans="3:8" ht="15" thickBot="1">
      <c r="C8" s="100"/>
      <c r="D8" s="13"/>
      <c r="E8" s="10"/>
      <c r="F8" s="10"/>
      <c r="G8" s="14">
        <f>SUM(G6:G7)</f>
        <v>1146</v>
      </c>
      <c r="H8" s="1"/>
    </row>
    <row r="9" spans="3:8" ht="15" thickBot="1">
      <c r="C9" s="100"/>
      <c r="D9" s="13"/>
      <c r="E9" s="10"/>
      <c r="F9" s="10"/>
      <c r="G9" s="11"/>
      <c r="H9" s="1"/>
    </row>
    <row r="10" spans="3:8" ht="15" thickBot="1">
      <c r="C10" s="100"/>
      <c r="D10" s="5" t="s">
        <v>7</v>
      </c>
      <c r="E10" s="10"/>
      <c r="F10" s="10"/>
      <c r="G10" s="15"/>
      <c r="H10" s="1"/>
    </row>
    <row r="11" spans="3:8" ht="15" thickBot="1">
      <c r="C11" s="100"/>
      <c r="D11" s="16" t="s">
        <v>8</v>
      </c>
      <c r="E11" s="10"/>
      <c r="F11" s="10"/>
      <c r="G11" s="17">
        <v>350</v>
      </c>
      <c r="H11" s="1"/>
    </row>
    <row r="12" spans="3:8" ht="15" thickBot="1">
      <c r="C12" s="100"/>
      <c r="D12" s="5" t="s">
        <v>9</v>
      </c>
      <c r="E12" s="10"/>
      <c r="F12" s="10"/>
      <c r="G12" s="11"/>
      <c r="H12" s="1" t="s">
        <v>10</v>
      </c>
    </row>
    <row r="13" spans="3:8">
      <c r="C13" s="100"/>
      <c r="D13" s="18" t="s">
        <v>11</v>
      </c>
      <c r="E13" s="88">
        <v>2</v>
      </c>
      <c r="F13" s="20">
        <v>198</v>
      </c>
      <c r="G13" s="21">
        <f>E13*F13</f>
        <v>396</v>
      </c>
      <c r="H13" s="1"/>
    </row>
    <row r="14" spans="3:8">
      <c r="C14" s="100"/>
      <c r="D14" s="18" t="s">
        <v>12</v>
      </c>
      <c r="E14" s="19">
        <v>1</v>
      </c>
      <c r="F14" s="20">
        <v>144</v>
      </c>
      <c r="G14" s="21">
        <f t="shared" ref="G14:G15" si="0">E14*F14</f>
        <v>144</v>
      </c>
      <c r="H14" s="1">
        <v>122.7</v>
      </c>
    </row>
    <row r="15" spans="3:8">
      <c r="C15" s="100"/>
      <c r="D15" s="18" t="s">
        <v>13</v>
      </c>
      <c r="E15" s="19">
        <v>2</v>
      </c>
      <c r="F15" s="20">
        <v>131</v>
      </c>
      <c r="G15" s="21">
        <f t="shared" si="0"/>
        <v>262</v>
      </c>
      <c r="H15" s="1">
        <v>245</v>
      </c>
    </row>
    <row r="16" spans="3:8">
      <c r="C16" s="100"/>
      <c r="D16" s="18" t="s">
        <v>14</v>
      </c>
      <c r="E16" s="19">
        <v>1</v>
      </c>
      <c r="F16" s="10"/>
      <c r="G16" s="21">
        <v>22.1</v>
      </c>
      <c r="H16" s="1"/>
    </row>
    <row r="17" spans="3:9">
      <c r="C17" s="100"/>
      <c r="D17" s="18" t="s">
        <v>15</v>
      </c>
      <c r="E17" s="19">
        <v>1</v>
      </c>
      <c r="F17" s="10"/>
      <c r="G17" s="21">
        <v>194.39999999999998</v>
      </c>
      <c r="H17" s="1"/>
    </row>
    <row r="18" spans="3:9">
      <c r="C18" s="100"/>
      <c r="D18" s="18" t="s">
        <v>16</v>
      </c>
      <c r="E18" s="19">
        <v>2</v>
      </c>
      <c r="F18" s="10"/>
      <c r="G18" s="21">
        <v>61.2</v>
      </c>
      <c r="H18" s="1"/>
      <c r="I18" s="1"/>
    </row>
    <row r="19" spans="3:9">
      <c r="C19" s="100"/>
      <c r="D19" s="18" t="s">
        <v>17</v>
      </c>
      <c r="E19" s="19">
        <v>2</v>
      </c>
      <c r="F19" s="10"/>
      <c r="G19" s="21">
        <v>23.6</v>
      </c>
      <c r="H19" s="1"/>
      <c r="I19" s="1"/>
    </row>
    <row r="20" spans="3:9">
      <c r="C20" s="100"/>
      <c r="D20" s="18" t="s">
        <v>18</v>
      </c>
      <c r="E20" s="19">
        <v>1</v>
      </c>
      <c r="F20" s="10"/>
      <c r="G20" s="21">
        <v>85</v>
      </c>
      <c r="H20" s="1"/>
      <c r="I20" s="1"/>
    </row>
    <row r="21" spans="3:9">
      <c r="C21" s="100"/>
      <c r="D21" s="18" t="s">
        <v>19</v>
      </c>
      <c r="E21" s="19">
        <v>3</v>
      </c>
      <c r="F21" s="10"/>
      <c r="G21" s="21">
        <v>145.43999999999997</v>
      </c>
      <c r="H21" s="1"/>
      <c r="I21" s="1"/>
    </row>
    <row r="22" spans="3:9" ht="15" thickBot="1">
      <c r="C22" s="100"/>
      <c r="D22" s="22" t="s">
        <v>20</v>
      </c>
      <c r="E22" s="23">
        <v>1</v>
      </c>
      <c r="F22" s="10"/>
      <c r="G22" s="24">
        <v>50</v>
      </c>
      <c r="H22" s="1"/>
      <c r="I22" s="1"/>
    </row>
    <row r="23" spans="3:9" ht="15" thickBot="1">
      <c r="C23" s="100"/>
      <c r="D23" s="13"/>
      <c r="E23" s="10"/>
      <c r="F23" s="10"/>
      <c r="G23" s="25">
        <f>SUM(G16:G22)+G13+H14+H15</f>
        <v>1345.44</v>
      </c>
      <c r="H23" s="1"/>
      <c r="I23" s="1"/>
    </row>
    <row r="24" spans="3:9" ht="15" thickBot="1">
      <c r="C24" s="100"/>
      <c r="D24" s="5" t="s">
        <v>21</v>
      </c>
      <c r="E24" s="10">
        <v>0</v>
      </c>
      <c r="F24" s="10"/>
      <c r="G24" s="26">
        <v>0</v>
      </c>
      <c r="H24" s="1"/>
      <c r="I24" s="1"/>
    </row>
    <row r="25" spans="3:9" ht="15" thickBot="1">
      <c r="C25" s="100"/>
      <c r="D25" s="13"/>
      <c r="E25" s="10"/>
      <c r="F25" s="10"/>
      <c r="G25" s="27"/>
      <c r="H25" s="1"/>
      <c r="I25" s="1"/>
    </row>
    <row r="26" spans="3:9" ht="15" thickBot="1">
      <c r="C26" s="100"/>
      <c r="D26" s="5" t="s">
        <v>22</v>
      </c>
      <c r="E26" s="10"/>
      <c r="F26" s="10"/>
      <c r="G26" s="27"/>
      <c r="H26" s="1"/>
      <c r="I26" s="1"/>
    </row>
    <row r="27" spans="3:9">
      <c r="C27" s="100"/>
      <c r="D27" s="18" t="s">
        <v>23</v>
      </c>
      <c r="E27" s="10">
        <v>57</v>
      </c>
      <c r="F27" s="10">
        <f>F28*1.2</f>
        <v>36</v>
      </c>
      <c r="G27" s="28">
        <f>F27*E27</f>
        <v>2052</v>
      </c>
      <c r="H27" s="102" t="s">
        <v>24</v>
      </c>
      <c r="I27" s="103"/>
    </row>
    <row r="28" spans="3:9">
      <c r="C28" s="100"/>
      <c r="D28" s="18" t="s">
        <v>25</v>
      </c>
      <c r="E28" s="10">
        <v>1.5</v>
      </c>
      <c r="F28" s="10">
        <v>30</v>
      </c>
      <c r="G28" s="28">
        <f>F28*E28</f>
        <v>45</v>
      </c>
      <c r="H28" s="104"/>
      <c r="I28" s="105"/>
    </row>
    <row r="29" spans="3:9">
      <c r="C29" s="100"/>
      <c r="D29" s="18" t="s">
        <v>26</v>
      </c>
      <c r="E29" s="10">
        <v>57</v>
      </c>
      <c r="F29" s="10">
        <v>7.2</v>
      </c>
      <c r="G29" s="28">
        <f>F29*E29</f>
        <v>410.40000000000003</v>
      </c>
      <c r="H29" s="104"/>
      <c r="I29" s="105"/>
    </row>
    <row r="30" spans="3:9" ht="15" thickBot="1">
      <c r="C30" s="100"/>
      <c r="D30" s="22" t="s">
        <v>27</v>
      </c>
      <c r="E30" s="10"/>
      <c r="F30" s="10"/>
      <c r="G30" s="28">
        <v>50</v>
      </c>
      <c r="H30" s="104"/>
      <c r="I30" s="105"/>
    </row>
    <row r="31" spans="3:9" ht="15" thickBot="1">
      <c r="C31" s="100"/>
      <c r="D31" s="13"/>
      <c r="E31" s="10"/>
      <c r="F31" s="10"/>
      <c r="G31" s="29">
        <f>SUM(G27:G30)</f>
        <v>2557.4</v>
      </c>
      <c r="H31" s="106"/>
      <c r="I31" s="107"/>
    </row>
    <row r="32" spans="3:9" ht="15" thickBot="1">
      <c r="C32" s="100"/>
      <c r="D32" s="5" t="s">
        <v>28</v>
      </c>
      <c r="E32" s="10">
        <v>4</v>
      </c>
      <c r="F32" s="30">
        <v>10</v>
      </c>
      <c r="G32" s="31">
        <f>F32*E32</f>
        <v>40</v>
      </c>
      <c r="H32" s="1"/>
      <c r="I32" s="1"/>
    </row>
    <row r="33" spans="3:9" ht="15" thickBot="1">
      <c r="C33" s="100"/>
      <c r="D33" s="5" t="s">
        <v>95</v>
      </c>
      <c r="E33" s="10">
        <v>1</v>
      </c>
      <c r="F33" s="10">
        <v>30</v>
      </c>
      <c r="G33" s="32">
        <f>E33*F33</f>
        <v>30</v>
      </c>
      <c r="H33" s="1"/>
      <c r="I33" s="33"/>
    </row>
    <row r="34" spans="3:9" ht="15" thickBot="1">
      <c r="C34" s="100"/>
      <c r="D34" s="13" t="s">
        <v>29</v>
      </c>
      <c r="E34" s="10"/>
      <c r="F34" s="10"/>
      <c r="G34" s="24">
        <v>50</v>
      </c>
      <c r="H34" s="1"/>
      <c r="I34" s="1"/>
    </row>
    <row r="35" spans="3:9" ht="15" thickBot="1">
      <c r="C35" s="101"/>
      <c r="D35" s="34"/>
      <c r="E35" s="35"/>
      <c r="F35" s="35"/>
      <c r="G35" s="36">
        <f>G8+G23+G31+G32+G33+G11+G34</f>
        <v>5518.84</v>
      </c>
      <c r="H35" s="1"/>
      <c r="I35" s="1"/>
    </row>
    <row r="36" spans="3:9">
      <c r="E36" s="1"/>
      <c r="F36" s="1"/>
      <c r="G36" s="37"/>
      <c r="H36" s="1"/>
      <c r="I36" s="1"/>
    </row>
    <row r="37" spans="3:9" ht="15" thickBot="1">
      <c r="E37" s="3" t="s">
        <v>0</v>
      </c>
      <c r="F37" s="1"/>
      <c r="G37" s="4" t="s">
        <v>1</v>
      </c>
      <c r="H37" s="1"/>
      <c r="I37" s="1"/>
    </row>
    <row r="38" spans="3:9" ht="15" thickBot="1">
      <c r="C38" s="96" t="s">
        <v>30</v>
      </c>
      <c r="D38" s="77" t="s">
        <v>31</v>
      </c>
      <c r="E38" s="6">
        <v>1</v>
      </c>
      <c r="F38" s="6">
        <v>40</v>
      </c>
      <c r="G38" s="78">
        <f>F38*E38</f>
        <v>40</v>
      </c>
      <c r="H38" s="1"/>
      <c r="I38" s="33"/>
    </row>
    <row r="39" spans="3:9" ht="15" thickBot="1">
      <c r="C39" s="97"/>
      <c r="D39" s="77" t="s">
        <v>32</v>
      </c>
      <c r="E39" s="10">
        <v>1</v>
      </c>
      <c r="F39" s="10">
        <v>100</v>
      </c>
      <c r="G39" s="76">
        <f>F39*E39</f>
        <v>100</v>
      </c>
      <c r="H39" s="1"/>
      <c r="I39" s="1"/>
    </row>
    <row r="40" spans="3:9" ht="15" thickBot="1">
      <c r="C40" s="97"/>
      <c r="D40" s="77" t="s">
        <v>33</v>
      </c>
      <c r="E40" s="10">
        <v>0.5</v>
      </c>
      <c r="F40" s="10">
        <v>30</v>
      </c>
      <c r="G40" s="38">
        <f>F40*E40</f>
        <v>15</v>
      </c>
      <c r="H40" s="1"/>
      <c r="I40" s="33"/>
    </row>
    <row r="41" spans="3:9" ht="15" thickBot="1">
      <c r="C41" s="97"/>
      <c r="D41" s="77" t="s">
        <v>34</v>
      </c>
      <c r="E41" s="10">
        <v>1</v>
      </c>
      <c r="F41" s="10">
        <v>5</v>
      </c>
      <c r="G41" s="38">
        <f>F41*E41</f>
        <v>5</v>
      </c>
      <c r="H41" s="1"/>
      <c r="I41" s="1"/>
    </row>
    <row r="42" spans="3:9">
      <c r="C42" s="97"/>
      <c r="D42" s="79" t="s">
        <v>35</v>
      </c>
      <c r="E42" s="10">
        <v>1</v>
      </c>
      <c r="F42" s="10">
        <v>20</v>
      </c>
      <c r="G42" s="39">
        <f>F42*E42</f>
        <v>20</v>
      </c>
      <c r="H42" s="1"/>
      <c r="I42" s="1"/>
    </row>
    <row r="43" spans="3:9">
      <c r="C43" s="97"/>
      <c r="D43" s="79"/>
      <c r="E43" s="10">
        <v>0</v>
      </c>
      <c r="F43" s="10"/>
      <c r="G43" s="39">
        <f t="shared" ref="G43:G46" si="1">F43*E43</f>
        <v>0</v>
      </c>
      <c r="H43" s="1"/>
      <c r="I43" s="1"/>
    </row>
    <row r="44" spans="3:9">
      <c r="C44" s="97"/>
      <c r="D44" s="79" t="s">
        <v>36</v>
      </c>
      <c r="E44" s="10">
        <v>0</v>
      </c>
      <c r="F44" s="10">
        <v>5</v>
      </c>
      <c r="G44" s="39">
        <f t="shared" si="1"/>
        <v>0</v>
      </c>
      <c r="H44" s="1"/>
      <c r="I44" s="1"/>
    </row>
    <row r="45" spans="3:9">
      <c r="C45" s="97"/>
      <c r="D45" s="79" t="s">
        <v>120</v>
      </c>
      <c r="E45" s="10">
        <v>0</v>
      </c>
      <c r="F45" s="10">
        <v>150</v>
      </c>
      <c r="G45" s="39">
        <f t="shared" si="1"/>
        <v>0</v>
      </c>
      <c r="H45" s="1"/>
      <c r="I45" s="1"/>
    </row>
    <row r="46" spans="3:9">
      <c r="C46" s="97"/>
      <c r="D46" s="79" t="s">
        <v>37</v>
      </c>
      <c r="E46" s="10">
        <v>0</v>
      </c>
      <c r="F46" s="10">
        <v>50</v>
      </c>
      <c r="G46" s="39">
        <f t="shared" si="1"/>
        <v>0</v>
      </c>
      <c r="H46" s="1"/>
      <c r="I46" s="1"/>
    </row>
    <row r="47" spans="3:9" ht="15" thickBot="1">
      <c r="C47" s="97"/>
      <c r="D47" s="79"/>
      <c r="E47" s="10"/>
      <c r="F47" s="10"/>
      <c r="G47" s="40"/>
      <c r="H47" s="1"/>
    </row>
    <row r="48" spans="3:9" ht="15" thickBot="1">
      <c r="C48" s="98"/>
      <c r="D48" s="80"/>
      <c r="E48" s="35"/>
      <c r="F48" s="35"/>
      <c r="G48" s="36">
        <f>G38+G39+G40+G41+G42+G43+G44+G45+G46</f>
        <v>180</v>
      </c>
      <c r="H48" s="1"/>
    </row>
    <row r="49" spans="3:8">
      <c r="E49" s="1"/>
      <c r="F49" s="1"/>
      <c r="G49" s="2"/>
      <c r="H49" s="1"/>
    </row>
    <row r="50" spans="3:8" ht="15" thickBot="1">
      <c r="E50" s="3" t="s">
        <v>0</v>
      </c>
      <c r="F50" s="1"/>
      <c r="G50" s="4" t="s">
        <v>1</v>
      </c>
      <c r="H50" s="1"/>
    </row>
    <row r="51" spans="3:8" ht="15" thickBot="1">
      <c r="C51" s="96" t="s">
        <v>38</v>
      </c>
      <c r="D51" s="5" t="s">
        <v>39</v>
      </c>
      <c r="E51" s="6"/>
      <c r="F51" s="6"/>
      <c r="G51" s="7"/>
      <c r="H51" s="1"/>
    </row>
    <row r="52" spans="3:8">
      <c r="C52" s="97"/>
      <c r="D52" s="18" t="s">
        <v>40</v>
      </c>
      <c r="E52" s="30">
        <v>5</v>
      </c>
      <c r="F52" s="10">
        <v>35</v>
      </c>
      <c r="G52" s="41">
        <f>F52*E52</f>
        <v>175</v>
      </c>
      <c r="H52" s="1"/>
    </row>
    <row r="53" spans="3:8">
      <c r="C53" s="97"/>
      <c r="D53" s="18" t="s">
        <v>41</v>
      </c>
      <c r="E53" s="30">
        <v>5</v>
      </c>
      <c r="F53" s="10">
        <v>20</v>
      </c>
      <c r="G53" s="41">
        <f t="shared" ref="G53:G66" si="2">F53*E53</f>
        <v>100</v>
      </c>
      <c r="H53" s="1"/>
    </row>
    <row r="54" spans="3:8">
      <c r="C54" s="97"/>
      <c r="D54" s="18" t="s">
        <v>42</v>
      </c>
      <c r="E54" s="30">
        <v>5</v>
      </c>
      <c r="F54" s="10">
        <v>16.5</v>
      </c>
      <c r="G54" s="41">
        <f t="shared" si="2"/>
        <v>82.5</v>
      </c>
      <c r="H54" s="1"/>
    </row>
    <row r="55" spans="3:8">
      <c r="C55" s="97"/>
      <c r="D55" s="18" t="s">
        <v>43</v>
      </c>
      <c r="E55" s="30">
        <f>20*E53</f>
        <v>100</v>
      </c>
      <c r="F55" s="10">
        <v>2</v>
      </c>
      <c r="G55" s="41">
        <f t="shared" si="2"/>
        <v>200</v>
      </c>
      <c r="H55" s="1"/>
    </row>
    <row r="56" spans="3:8">
      <c r="C56" s="97"/>
      <c r="D56" s="18" t="s">
        <v>44</v>
      </c>
      <c r="E56" s="30">
        <v>8</v>
      </c>
      <c r="F56" s="10">
        <v>1.5</v>
      </c>
      <c r="G56" s="41">
        <f t="shared" si="2"/>
        <v>12</v>
      </c>
      <c r="H56" s="1"/>
    </row>
    <row r="57" spans="3:8">
      <c r="C57" s="97"/>
      <c r="D57" s="18" t="s">
        <v>45</v>
      </c>
      <c r="E57" s="30">
        <v>8</v>
      </c>
      <c r="F57" s="10">
        <v>0.3</v>
      </c>
      <c r="G57" s="41">
        <f t="shared" si="2"/>
        <v>2.4</v>
      </c>
      <c r="H57" s="1"/>
    </row>
    <row r="58" spans="3:8">
      <c r="C58" s="97"/>
      <c r="D58" s="18" t="s">
        <v>46</v>
      </c>
      <c r="E58" s="30">
        <f>3.45*E54</f>
        <v>17.25</v>
      </c>
      <c r="F58" s="10">
        <v>2</v>
      </c>
      <c r="G58" s="41">
        <f t="shared" si="2"/>
        <v>34.5</v>
      </c>
      <c r="H58" s="1"/>
    </row>
    <row r="59" spans="3:8">
      <c r="C59" s="97"/>
      <c r="D59" s="18" t="s">
        <v>47</v>
      </c>
      <c r="E59" s="30">
        <v>20</v>
      </c>
      <c r="F59" s="10">
        <v>0.42</v>
      </c>
      <c r="G59" s="41">
        <f t="shared" si="2"/>
        <v>8.4</v>
      </c>
      <c r="H59" s="1"/>
    </row>
    <row r="60" spans="3:8" ht="15" thickBot="1">
      <c r="C60" s="97"/>
      <c r="D60" s="18" t="s">
        <v>48</v>
      </c>
      <c r="E60" s="30">
        <v>2</v>
      </c>
      <c r="F60" s="10">
        <v>2.5</v>
      </c>
      <c r="G60" s="41">
        <f t="shared" si="2"/>
        <v>5</v>
      </c>
      <c r="H60" s="1"/>
    </row>
    <row r="61" spans="3:8" ht="15" thickBot="1">
      <c r="C61" s="97"/>
      <c r="D61" s="13"/>
      <c r="E61" s="10"/>
      <c r="F61" s="10" t="s">
        <v>49</v>
      </c>
      <c r="G61" s="25">
        <f>SUM(G52:G60)</f>
        <v>619.79999999999995</v>
      </c>
      <c r="H61" s="1"/>
    </row>
    <row r="62" spans="3:8" ht="15" thickBot="1">
      <c r="C62" s="97"/>
      <c r="D62" s="5" t="s">
        <v>50</v>
      </c>
      <c r="E62" s="10">
        <v>1</v>
      </c>
      <c r="F62" s="10">
        <v>100</v>
      </c>
      <c r="G62" s="31">
        <f t="shared" si="2"/>
        <v>100</v>
      </c>
      <c r="H62" s="1"/>
    </row>
    <row r="63" spans="3:8" ht="15" thickBot="1">
      <c r="C63" s="97"/>
      <c r="D63" s="13"/>
      <c r="E63" s="10"/>
      <c r="F63" s="10"/>
      <c r="G63" s="27"/>
      <c r="H63" s="1"/>
    </row>
    <row r="64" spans="3:8" ht="15" thickBot="1">
      <c r="C64" s="97"/>
      <c r="D64" s="5" t="s">
        <v>51</v>
      </c>
      <c r="E64" s="10">
        <v>1</v>
      </c>
      <c r="F64" s="10">
        <v>60</v>
      </c>
      <c r="G64" s="14">
        <f t="shared" si="2"/>
        <v>60</v>
      </c>
      <c r="H64" s="1"/>
    </row>
    <row r="65" spans="3:8" ht="15" thickBot="1">
      <c r="C65" s="97"/>
      <c r="D65" s="13"/>
      <c r="E65" s="10"/>
      <c r="F65" s="10"/>
      <c r="G65" s="27"/>
      <c r="H65" s="1"/>
    </row>
    <row r="66" spans="3:8" ht="15" thickBot="1">
      <c r="C66" s="97"/>
      <c r="D66" s="5" t="s">
        <v>52</v>
      </c>
      <c r="E66" s="10">
        <v>10</v>
      </c>
      <c r="F66" s="10">
        <v>3</v>
      </c>
      <c r="G66" s="14">
        <f t="shared" si="2"/>
        <v>30</v>
      </c>
      <c r="H66" s="1"/>
    </row>
    <row r="67" spans="3:8" ht="15" thickBot="1">
      <c r="C67" s="97"/>
      <c r="D67" s="13"/>
      <c r="E67" s="10"/>
      <c r="F67" s="10"/>
      <c r="G67" s="27"/>
      <c r="H67" s="1"/>
    </row>
    <row r="68" spans="3:8" ht="15" thickBot="1">
      <c r="C68" s="98"/>
      <c r="D68" s="34"/>
      <c r="E68" s="35"/>
      <c r="F68" s="35"/>
      <c r="G68" s="36">
        <f>G61+G62+G64+G66</f>
        <v>809.8</v>
      </c>
      <c r="H68" s="1"/>
    </row>
    <row r="69" spans="3:8">
      <c r="E69" s="1"/>
      <c r="F69" s="1"/>
      <c r="G69" s="2"/>
      <c r="H69" s="1"/>
    </row>
    <row r="70" spans="3:8">
      <c r="E70" s="1"/>
      <c r="F70" s="1"/>
      <c r="G70" s="2"/>
      <c r="H70" s="1"/>
    </row>
    <row r="71" spans="3:8" ht="15" thickBot="1">
      <c r="E71" s="3" t="s">
        <v>0</v>
      </c>
      <c r="F71" s="1"/>
      <c r="G71" s="4" t="s">
        <v>1</v>
      </c>
      <c r="H71" s="1"/>
    </row>
    <row r="72" spans="3:8" ht="15" thickBot="1">
      <c r="C72" s="96" t="s">
        <v>53</v>
      </c>
      <c r="D72" s="5" t="s">
        <v>54</v>
      </c>
      <c r="E72" s="6"/>
      <c r="F72" s="6"/>
      <c r="G72" s="7"/>
      <c r="H72" s="1"/>
    </row>
    <row r="73" spans="3:8">
      <c r="C73" s="97"/>
      <c r="D73" s="8" t="s">
        <v>4</v>
      </c>
      <c r="E73" s="10">
        <v>50</v>
      </c>
      <c r="F73" s="10">
        <v>15</v>
      </c>
      <c r="G73" s="42">
        <f t="shared" ref="G73:G87" si="3">F73*E73</f>
        <v>750</v>
      </c>
      <c r="H73" s="1"/>
    </row>
    <row r="74" spans="3:8">
      <c r="C74" s="108"/>
      <c r="D74" s="43" t="s">
        <v>6</v>
      </c>
      <c r="E74" s="10">
        <v>90</v>
      </c>
      <c r="F74" s="10">
        <v>0.8</v>
      </c>
      <c r="G74" s="42">
        <f t="shared" si="3"/>
        <v>72</v>
      </c>
      <c r="H74" s="1"/>
    </row>
    <row r="75" spans="3:8">
      <c r="C75" s="97"/>
      <c r="D75" s="16" t="s">
        <v>55</v>
      </c>
      <c r="E75" s="10">
        <v>1</v>
      </c>
      <c r="F75" s="10">
        <v>60</v>
      </c>
      <c r="G75" s="42">
        <f t="shared" si="3"/>
        <v>60</v>
      </c>
      <c r="H75" s="1"/>
    </row>
    <row r="76" spans="3:8">
      <c r="C76" s="97"/>
      <c r="D76" s="44" t="s">
        <v>126</v>
      </c>
      <c r="E76" s="10">
        <v>0</v>
      </c>
      <c r="F76" s="10">
        <v>50</v>
      </c>
      <c r="G76" s="42">
        <f t="shared" si="3"/>
        <v>0</v>
      </c>
      <c r="H76" s="1"/>
    </row>
    <row r="77" spans="3:8">
      <c r="C77" s="97"/>
      <c r="D77" s="44" t="s">
        <v>56</v>
      </c>
      <c r="E77" s="10">
        <v>1</v>
      </c>
      <c r="F77" s="10">
        <v>30</v>
      </c>
      <c r="G77" s="42">
        <f t="shared" si="3"/>
        <v>30</v>
      </c>
      <c r="H77" s="1"/>
    </row>
    <row r="78" spans="3:8">
      <c r="C78" s="97"/>
      <c r="D78" s="44" t="s">
        <v>57</v>
      </c>
      <c r="E78" s="10">
        <v>1</v>
      </c>
      <c r="F78" s="10">
        <v>20</v>
      </c>
      <c r="G78" s="42">
        <f t="shared" si="3"/>
        <v>20</v>
      </c>
      <c r="H78" s="1"/>
    </row>
    <row r="79" spans="3:8">
      <c r="C79" s="97"/>
      <c r="D79" s="44" t="s">
        <v>58</v>
      </c>
      <c r="E79" s="10">
        <v>1</v>
      </c>
      <c r="F79" s="10">
        <v>25</v>
      </c>
      <c r="G79" s="42">
        <f t="shared" si="3"/>
        <v>25</v>
      </c>
      <c r="H79" s="1"/>
    </row>
    <row r="80" spans="3:8">
      <c r="C80" s="97"/>
      <c r="D80" s="44" t="s">
        <v>59</v>
      </c>
      <c r="E80" s="10">
        <v>1</v>
      </c>
      <c r="F80" s="10">
        <v>20</v>
      </c>
      <c r="G80" s="42">
        <f t="shared" si="3"/>
        <v>20</v>
      </c>
      <c r="H80" s="1"/>
    </row>
    <row r="81" spans="3:8">
      <c r="C81" s="97"/>
      <c r="D81" s="44"/>
      <c r="E81" s="10">
        <v>0</v>
      </c>
      <c r="F81" s="10">
        <v>200</v>
      </c>
      <c r="G81" s="11">
        <f t="shared" si="3"/>
        <v>0</v>
      </c>
      <c r="H81" s="45"/>
    </row>
    <row r="82" spans="3:8">
      <c r="C82" s="97"/>
      <c r="D82" s="44" t="s">
        <v>60</v>
      </c>
      <c r="E82" s="10">
        <v>1</v>
      </c>
      <c r="F82" s="10">
        <v>0.8</v>
      </c>
      <c r="G82" s="42">
        <f t="shared" si="3"/>
        <v>0.8</v>
      </c>
      <c r="H82" s="1"/>
    </row>
    <row r="83" spans="3:8">
      <c r="C83" s="97"/>
      <c r="D83" s="44" t="s">
        <v>61</v>
      </c>
      <c r="E83" s="10">
        <v>1</v>
      </c>
      <c r="F83" s="10">
        <v>30</v>
      </c>
      <c r="G83" s="42">
        <f t="shared" si="3"/>
        <v>30</v>
      </c>
      <c r="H83" s="1"/>
    </row>
    <row r="84" spans="3:8">
      <c r="C84" s="97"/>
      <c r="D84" s="44" t="s">
        <v>62</v>
      </c>
      <c r="E84" s="10">
        <v>1</v>
      </c>
      <c r="F84" s="10">
        <v>8</v>
      </c>
      <c r="G84" s="42">
        <f t="shared" si="3"/>
        <v>8</v>
      </c>
      <c r="H84" s="1"/>
    </row>
    <row r="85" spans="3:8">
      <c r="C85" s="97"/>
      <c r="D85" s="44" t="s">
        <v>63</v>
      </c>
      <c r="E85" s="10">
        <v>1</v>
      </c>
      <c r="F85" s="10">
        <v>5</v>
      </c>
      <c r="G85" s="42">
        <f t="shared" si="3"/>
        <v>5</v>
      </c>
      <c r="H85" s="1"/>
    </row>
    <row r="86" spans="3:8">
      <c r="C86" s="97"/>
      <c r="D86" s="44" t="s">
        <v>64</v>
      </c>
      <c r="E86" s="10">
        <v>1</v>
      </c>
      <c r="F86" s="10">
        <v>1</v>
      </c>
      <c r="G86" s="42">
        <f t="shared" si="3"/>
        <v>1</v>
      </c>
      <c r="H86" s="1"/>
    </row>
    <row r="87" spans="3:8" ht="15" thickBot="1">
      <c r="C87" s="97"/>
      <c r="D87" s="44" t="s">
        <v>65</v>
      </c>
      <c r="E87" s="10">
        <v>1</v>
      </c>
      <c r="F87" s="10">
        <v>10</v>
      </c>
      <c r="G87" s="42">
        <f t="shared" si="3"/>
        <v>10</v>
      </c>
      <c r="H87" s="1"/>
    </row>
    <row r="88" spans="3:8" ht="15" thickBot="1">
      <c r="C88" s="98"/>
      <c r="D88" s="34"/>
      <c r="E88" s="35"/>
      <c r="F88" s="35"/>
      <c r="G88" s="36">
        <f>SUM(G73:G87)</f>
        <v>1031.8</v>
      </c>
      <c r="H88" s="1"/>
    </row>
    <row r="89" spans="3:8">
      <c r="E89" s="1"/>
      <c r="F89" s="1"/>
      <c r="G89" s="2"/>
      <c r="H89" s="1"/>
    </row>
    <row r="90" spans="3:8" ht="15" thickBot="1">
      <c r="E90" s="3" t="s">
        <v>0</v>
      </c>
      <c r="F90" s="1"/>
      <c r="G90" s="4" t="s">
        <v>1</v>
      </c>
      <c r="H90" s="1"/>
    </row>
    <row r="91" spans="3:8">
      <c r="C91" s="96" t="s">
        <v>66</v>
      </c>
      <c r="D91" s="46" t="s">
        <v>67</v>
      </c>
      <c r="E91" s="6"/>
      <c r="F91" s="6"/>
      <c r="G91" s="47">
        <v>15</v>
      </c>
      <c r="H91" s="1"/>
    </row>
    <row r="92" spans="3:8">
      <c r="C92" s="97"/>
      <c r="D92" s="18" t="s">
        <v>68</v>
      </c>
      <c r="E92" s="10"/>
      <c r="F92" s="10"/>
      <c r="G92" s="48">
        <v>10</v>
      </c>
      <c r="H92" s="1"/>
    </row>
    <row r="93" spans="3:8">
      <c r="C93" s="97"/>
      <c r="D93" s="18" t="s">
        <v>69</v>
      </c>
      <c r="E93" s="10"/>
      <c r="F93" s="10"/>
      <c r="G93" s="48">
        <v>5</v>
      </c>
      <c r="H93" s="1"/>
    </row>
    <row r="94" spans="3:8">
      <c r="C94" s="97"/>
      <c r="D94" s="44" t="s">
        <v>122</v>
      </c>
      <c r="E94" s="10">
        <v>1</v>
      </c>
      <c r="F94" s="10">
        <v>200</v>
      </c>
      <c r="G94" s="95">
        <f t="shared" ref="G94" si="4">F94*E94</f>
        <v>200</v>
      </c>
      <c r="H94" s="1"/>
    </row>
    <row r="95" spans="3:8">
      <c r="C95" s="97"/>
      <c r="D95" s="18" t="s">
        <v>70</v>
      </c>
      <c r="E95" s="10"/>
      <c r="F95" s="10"/>
      <c r="G95" s="48">
        <v>30</v>
      </c>
      <c r="H95" s="1"/>
    </row>
    <row r="96" spans="3:8">
      <c r="C96" s="97"/>
      <c r="D96" s="18" t="s">
        <v>71</v>
      </c>
      <c r="E96" s="10"/>
      <c r="F96" s="10"/>
      <c r="G96" s="49">
        <v>180</v>
      </c>
      <c r="H96" s="1"/>
    </row>
    <row r="97" spans="3:9">
      <c r="C97" s="97"/>
      <c r="D97" s="18"/>
      <c r="E97" s="10"/>
      <c r="F97" s="10"/>
      <c r="G97" s="49">
        <v>0</v>
      </c>
      <c r="H97" s="1"/>
    </row>
    <row r="98" spans="3:9">
      <c r="C98" s="97"/>
      <c r="D98" s="18"/>
      <c r="E98" s="10"/>
      <c r="F98" s="10"/>
      <c r="G98" s="27"/>
      <c r="H98" s="1"/>
    </row>
    <row r="99" spans="3:9" ht="15" thickBot="1">
      <c r="C99" s="97"/>
      <c r="D99" s="18" t="s">
        <v>72</v>
      </c>
      <c r="E99" s="10"/>
      <c r="F99" s="10"/>
      <c r="G99" s="50">
        <v>15</v>
      </c>
      <c r="H99" s="1"/>
    </row>
    <row r="100" spans="3:9" ht="15" thickBot="1">
      <c r="C100" s="98"/>
      <c r="D100" s="34"/>
      <c r="E100" s="35"/>
      <c r="F100" s="35"/>
      <c r="G100" s="36">
        <f>SUM(G91:G99)</f>
        <v>455</v>
      </c>
      <c r="H100" s="1"/>
    </row>
    <row r="101" spans="3:9">
      <c r="E101" s="1"/>
      <c r="F101" s="1"/>
      <c r="G101" s="2"/>
      <c r="H101" s="1"/>
    </row>
    <row r="102" spans="3:9">
      <c r="E102" s="1"/>
      <c r="F102" s="1"/>
      <c r="G102" s="2"/>
      <c r="H102" s="1"/>
    </row>
    <row r="103" spans="3:9" ht="15" thickBot="1">
      <c r="E103" s="3" t="s">
        <v>0</v>
      </c>
      <c r="F103" s="1"/>
      <c r="G103" s="4" t="s">
        <v>1</v>
      </c>
      <c r="H103" s="1"/>
    </row>
    <row r="104" spans="3:9">
      <c r="C104" s="96" t="s">
        <v>73</v>
      </c>
      <c r="D104" s="51" t="s">
        <v>74</v>
      </c>
      <c r="E104" s="6">
        <v>1</v>
      </c>
      <c r="F104" s="6">
        <v>150</v>
      </c>
      <c r="G104" s="52">
        <f t="shared" ref="G104:G109" si="5">E104*F104</f>
        <v>150</v>
      </c>
      <c r="H104" s="45"/>
      <c r="I104" t="s">
        <v>75</v>
      </c>
    </row>
    <row r="105" spans="3:9">
      <c r="C105" s="97"/>
      <c r="D105" s="53" t="s">
        <v>76</v>
      </c>
      <c r="E105" s="10">
        <v>6</v>
      </c>
      <c r="F105" s="10">
        <v>10</v>
      </c>
      <c r="G105" s="54">
        <f t="shared" si="5"/>
        <v>60</v>
      </c>
      <c r="H105" s="1"/>
    </row>
    <row r="106" spans="3:9">
      <c r="C106" s="97"/>
      <c r="D106" s="13" t="s">
        <v>77</v>
      </c>
      <c r="E106" s="10">
        <v>0</v>
      </c>
      <c r="F106" s="10">
        <v>15</v>
      </c>
      <c r="G106" s="49">
        <f t="shared" si="5"/>
        <v>0</v>
      </c>
      <c r="H106" s="1"/>
    </row>
    <row r="107" spans="3:9">
      <c r="C107" s="97"/>
      <c r="D107" s="13" t="s">
        <v>78</v>
      </c>
      <c r="E107" s="10">
        <v>0</v>
      </c>
      <c r="F107" s="10">
        <v>15</v>
      </c>
      <c r="G107" s="49">
        <f t="shared" si="5"/>
        <v>0</v>
      </c>
      <c r="H107" s="1"/>
    </row>
    <row r="108" spans="3:9">
      <c r="C108" s="97"/>
      <c r="D108" s="13" t="s">
        <v>79</v>
      </c>
      <c r="E108" s="10">
        <v>1</v>
      </c>
      <c r="F108" s="10">
        <v>20</v>
      </c>
      <c r="G108" s="55">
        <f t="shared" si="5"/>
        <v>20</v>
      </c>
      <c r="H108" s="1"/>
    </row>
    <row r="109" spans="3:9" ht="15" thickBot="1">
      <c r="C109" s="97"/>
      <c r="D109" s="16" t="s">
        <v>80</v>
      </c>
      <c r="E109" s="10">
        <v>0</v>
      </c>
      <c r="F109" s="10">
        <v>50</v>
      </c>
      <c r="G109" s="54">
        <f t="shared" si="5"/>
        <v>0</v>
      </c>
      <c r="H109" s="1"/>
    </row>
    <row r="110" spans="3:9" ht="15" thickBot="1">
      <c r="C110" s="98"/>
      <c r="D110" s="34"/>
      <c r="E110" s="35"/>
      <c r="F110" s="35"/>
      <c r="G110" s="36">
        <f>SUM(G104:G109)</f>
        <v>230</v>
      </c>
      <c r="H110" s="1"/>
    </row>
    <row r="111" spans="3:9">
      <c r="E111" s="1"/>
      <c r="F111" s="1"/>
      <c r="G111" s="2"/>
      <c r="H111" s="1"/>
    </row>
    <row r="112" spans="3:9">
      <c r="E112" s="1"/>
      <c r="F112" s="1"/>
      <c r="G112" s="2"/>
      <c r="H112" s="1"/>
    </row>
    <row r="113" spans="4:8">
      <c r="E113" s="1"/>
      <c r="F113" s="1"/>
      <c r="G113" s="2"/>
      <c r="H113" s="1"/>
    </row>
    <row r="114" spans="4:8">
      <c r="E114" s="1"/>
      <c r="F114" s="1"/>
      <c r="G114" s="2"/>
      <c r="H114" s="1"/>
    </row>
    <row r="115" spans="4:8">
      <c r="E115" s="1"/>
      <c r="F115" s="1"/>
      <c r="G115" s="2"/>
      <c r="H115" s="1"/>
    </row>
    <row r="116" spans="4:8" ht="15" thickBot="1">
      <c r="E116" s="1"/>
      <c r="F116" s="1"/>
      <c r="G116" s="2"/>
      <c r="H116" s="1"/>
    </row>
    <row r="117" spans="4:8" ht="15" thickBot="1">
      <c r="D117" s="5" t="s">
        <v>81</v>
      </c>
      <c r="E117" s="1"/>
      <c r="F117" s="1"/>
      <c r="G117" s="36">
        <f>G110+G100+G88+G68+G48+G35</f>
        <v>8225.44</v>
      </c>
      <c r="H117" s="1"/>
    </row>
    <row r="118" spans="4:8" ht="15" thickBot="1">
      <c r="D118" t="s">
        <v>123</v>
      </c>
      <c r="E118" s="1"/>
      <c r="F118" s="1"/>
      <c r="G118" s="2">
        <v>1000</v>
      </c>
      <c r="H118" s="1"/>
    </row>
    <row r="119" spans="4:8" ht="15" thickBot="1">
      <c r="D119" s="5" t="s">
        <v>82</v>
      </c>
      <c r="E119" s="1"/>
      <c r="F119" s="1"/>
      <c r="G119" s="36">
        <f>2000+200</f>
        <v>2200</v>
      </c>
      <c r="H119" s="1"/>
    </row>
    <row r="120" spans="4:8" ht="15" thickBot="1">
      <c r="D120" t="s">
        <v>83</v>
      </c>
      <c r="E120" s="1"/>
      <c r="F120" s="1"/>
      <c r="G120" s="2">
        <v>250</v>
      </c>
      <c r="H120" s="1"/>
    </row>
    <row r="121" spans="4:8" ht="15" thickBot="1">
      <c r="D121" s="5" t="s">
        <v>84</v>
      </c>
      <c r="E121" s="1"/>
      <c r="F121" s="1"/>
      <c r="G121" s="36">
        <f>0.1*(G117+G119+G118+G120)</f>
        <v>1167.5440000000001</v>
      </c>
      <c r="H121" s="1"/>
    </row>
    <row r="122" spans="4:8" ht="15" thickBot="1">
      <c r="E122" s="1"/>
      <c r="F122" s="1"/>
      <c r="G122" s="2"/>
      <c r="H122" s="1"/>
    </row>
    <row r="123" spans="4:8" ht="15" thickBot="1">
      <c r="D123" s="5" t="s">
        <v>85</v>
      </c>
      <c r="E123" s="1"/>
      <c r="F123" s="1"/>
      <c r="G123" s="36">
        <f>G117+G119+G121+G120+G118</f>
        <v>12842.984</v>
      </c>
      <c r="H123" s="1"/>
    </row>
    <row r="124" spans="4:8">
      <c r="E124" s="1"/>
      <c r="F124" s="1"/>
      <c r="G124" s="2"/>
      <c r="H124" s="1"/>
    </row>
    <row r="125" spans="4:8" ht="15" thickBot="1">
      <c r="E125" s="1"/>
      <c r="F125" s="1"/>
      <c r="G125" s="2"/>
      <c r="H125" s="1"/>
    </row>
    <row r="126" spans="4:8" ht="15" thickBot="1">
      <c r="D126" s="5" t="s">
        <v>86</v>
      </c>
      <c r="E126" s="36">
        <f>G117</f>
        <v>8225.44</v>
      </c>
      <c r="F126" s="1"/>
      <c r="G126" s="2"/>
      <c r="H126" s="1"/>
    </row>
    <row r="127" spans="4:8" ht="15" thickBot="1">
      <c r="D127" s="5" t="s">
        <v>96</v>
      </c>
      <c r="E127" s="36">
        <v>1000</v>
      </c>
      <c r="F127" s="1"/>
      <c r="G127" s="2"/>
      <c r="H127" s="1"/>
    </row>
    <row r="128" spans="4:8" ht="15" thickBot="1">
      <c r="D128" s="5" t="s">
        <v>87</v>
      </c>
      <c r="E128" s="36">
        <f>G119</f>
        <v>2200</v>
      </c>
      <c r="F128" s="56">
        <f>E128/G123</f>
        <v>0.17129975401355324</v>
      </c>
      <c r="G128" s="2"/>
      <c r="H128" s="1"/>
    </row>
    <row r="129" spans="4:8" ht="15" thickBot="1">
      <c r="D129" s="5" t="s">
        <v>119</v>
      </c>
      <c r="E129" s="36">
        <v>250</v>
      </c>
      <c r="F129" s="56"/>
      <c r="G129" s="2"/>
      <c r="H129" s="1"/>
    </row>
    <row r="130" spans="4:8" ht="15" thickBot="1">
      <c r="D130" s="5" t="s">
        <v>88</v>
      </c>
      <c r="E130" s="36">
        <f>G121</f>
        <v>1167.5440000000001</v>
      </c>
      <c r="F130" s="1"/>
      <c r="G130" s="2"/>
      <c r="H130" s="1"/>
    </row>
    <row r="131" spans="4:8">
      <c r="E131" s="1"/>
      <c r="F131" s="1"/>
      <c r="G131" s="2"/>
      <c r="H131" s="1"/>
    </row>
    <row r="132" spans="4:8">
      <c r="E132" s="62">
        <f>SUM(E126:E130)</f>
        <v>12842.984</v>
      </c>
      <c r="F132" s="1"/>
      <c r="G132" s="2"/>
      <c r="H132" s="1"/>
    </row>
    <row r="133" spans="4:8">
      <c r="E133" s="1"/>
      <c r="F133" s="1"/>
      <c r="G133" s="2"/>
      <c r="H133" s="1"/>
    </row>
    <row r="134" spans="4:8">
      <c r="E134" s="1"/>
      <c r="F134" s="1"/>
      <c r="G134" s="2"/>
      <c r="H134" s="1"/>
    </row>
    <row r="135" spans="4:8">
      <c r="E135" s="1"/>
      <c r="F135" s="1"/>
      <c r="G135" s="2"/>
      <c r="H135" s="1"/>
    </row>
    <row r="136" spans="4:8">
      <c r="E136" s="1"/>
      <c r="F136" s="1"/>
      <c r="G136" s="2"/>
      <c r="H136" s="1"/>
    </row>
    <row r="137" spans="4:8">
      <c r="E137" s="1"/>
      <c r="F137" s="1"/>
      <c r="G137" s="2"/>
      <c r="H137" s="1"/>
    </row>
    <row r="138" spans="4:8" ht="15" thickBot="1">
      <c r="E138" s="1"/>
      <c r="F138" s="1"/>
      <c r="G138" s="2"/>
      <c r="H138" s="1"/>
    </row>
    <row r="139" spans="4:8" ht="15" thickBot="1">
      <c r="D139" s="57" t="s">
        <v>89</v>
      </c>
      <c r="E139" s="36">
        <f>G35</f>
        <v>5518.84</v>
      </c>
      <c r="F139" s="1"/>
      <c r="G139" s="2"/>
      <c r="H139" s="1"/>
    </row>
    <row r="140" spans="4:8" ht="15" thickBot="1">
      <c r="D140" s="58" t="s">
        <v>90</v>
      </c>
      <c r="E140" s="36">
        <f>G48</f>
        <v>180</v>
      </c>
      <c r="F140" s="1"/>
      <c r="G140" s="2"/>
      <c r="H140" s="1"/>
    </row>
    <row r="141" spans="4:8" ht="15" thickBot="1">
      <c r="D141" s="59" t="s">
        <v>91</v>
      </c>
      <c r="E141" s="36">
        <f>G68</f>
        <v>809.8</v>
      </c>
      <c r="F141" s="1"/>
      <c r="G141" s="2"/>
      <c r="H141" s="1"/>
    </row>
    <row r="142" spans="4:8" ht="15" thickBot="1">
      <c r="D142" s="60" t="s">
        <v>92</v>
      </c>
      <c r="E142" s="36">
        <f>G88</f>
        <v>1031.8</v>
      </c>
      <c r="F142" s="1"/>
      <c r="G142" s="2"/>
      <c r="H142" s="1"/>
    </row>
    <row r="143" spans="4:8" ht="15" thickBot="1">
      <c r="D143" s="61" t="s">
        <v>93</v>
      </c>
      <c r="E143" s="36">
        <f>G100</f>
        <v>455</v>
      </c>
      <c r="F143" s="1"/>
      <c r="G143" s="2"/>
      <c r="H143" s="1"/>
    </row>
    <row r="144" spans="4:8" ht="15" thickBot="1">
      <c r="D144" s="5" t="s">
        <v>94</v>
      </c>
      <c r="E144" s="36">
        <f>G110</f>
        <v>230</v>
      </c>
      <c r="F144" s="1"/>
      <c r="G144" s="2"/>
      <c r="H144" s="1"/>
    </row>
    <row r="145" spans="5:8">
      <c r="E145" s="1"/>
      <c r="F145" s="1"/>
      <c r="G145" s="2"/>
      <c r="H145" s="1"/>
    </row>
    <row r="146" spans="5:8">
      <c r="E146" s="62">
        <f>SUM(E139:E145)</f>
        <v>8225.44</v>
      </c>
      <c r="F146" s="1"/>
      <c r="G146" s="2"/>
      <c r="H146" s="1"/>
    </row>
  </sheetData>
  <mergeCells count="7">
    <mergeCell ref="C104:C110"/>
    <mergeCell ref="C5:C35"/>
    <mergeCell ref="H27:I31"/>
    <mergeCell ref="C38:C48"/>
    <mergeCell ref="C51:C68"/>
    <mergeCell ref="C72:C88"/>
    <mergeCell ref="C91:C100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N24"/>
  <sheetViews>
    <sheetView tabSelected="1" topLeftCell="A7" workbookViewId="0">
      <selection activeCell="N17" sqref="N17"/>
    </sheetView>
  </sheetViews>
  <sheetFormatPr baseColWidth="10" defaultColWidth="8.83203125" defaultRowHeight="14" x14ac:dyDescent="0"/>
  <cols>
    <col min="3" max="8" width="15.6640625" customWidth="1"/>
    <col min="9" max="9" width="11.6640625" bestFit="1" customWidth="1"/>
    <col min="10" max="10" width="8.5" customWidth="1"/>
  </cols>
  <sheetData>
    <row r="3" spans="3:11" ht="15" thickBot="1"/>
    <row r="4" spans="3:11" ht="37" thickBot="1">
      <c r="C4" s="63"/>
      <c r="D4" s="64" t="s">
        <v>97</v>
      </c>
      <c r="E4" s="64" t="s">
        <v>98</v>
      </c>
      <c r="F4" s="64" t="s">
        <v>99</v>
      </c>
      <c r="G4" s="64" t="s">
        <v>100</v>
      </c>
      <c r="H4" s="64" t="s">
        <v>101</v>
      </c>
      <c r="I4" s="65" t="s">
        <v>102</v>
      </c>
      <c r="J4" s="66" t="s">
        <v>103</v>
      </c>
    </row>
    <row r="5" spans="3:11" ht="25" customHeight="1" thickBot="1">
      <c r="C5" s="64" t="s">
        <v>104</v>
      </c>
      <c r="D5" s="81">
        <v>5</v>
      </c>
      <c r="E5" s="81">
        <f>$K5*0.05</f>
        <v>79.300000000000011</v>
      </c>
      <c r="F5" s="81">
        <f>$K5*0.1</f>
        <v>158.60000000000002</v>
      </c>
      <c r="G5" s="81">
        <f>$K5*0.95</f>
        <v>1506.6999999999998</v>
      </c>
      <c r="H5" s="81">
        <f t="shared" ref="H5:H9" si="0">K5*0.25</f>
        <v>396.5</v>
      </c>
      <c r="I5" s="84">
        <v>35</v>
      </c>
      <c r="J5" s="81">
        <f>SUM(D5:I5)</f>
        <v>2181.1</v>
      </c>
      <c r="K5" s="75">
        <f>'12M€'!G8+'12M€'!G11+'12M€'!G64+'12M€'!G66</f>
        <v>1586</v>
      </c>
    </row>
    <row r="6" spans="3:11" ht="25" customHeight="1" thickBot="1">
      <c r="C6" s="64" t="s">
        <v>105</v>
      </c>
      <c r="D6" s="81">
        <v>4</v>
      </c>
      <c r="E6" s="81">
        <f t="shared" ref="E6:E15" si="1">$K6*0.05</f>
        <v>127.87</v>
      </c>
      <c r="F6" s="81">
        <f t="shared" ref="F6:F12" si="2">$K6*0.1</f>
        <v>255.74</v>
      </c>
      <c r="G6" s="81">
        <f t="shared" ref="G6:G15" si="3">$K6*0.95</f>
        <v>2429.5300000000002</v>
      </c>
      <c r="H6" s="81">
        <f t="shared" si="0"/>
        <v>639.35</v>
      </c>
      <c r="I6" s="84">
        <v>55</v>
      </c>
      <c r="J6" s="81">
        <f t="shared" ref="J6:J15" si="4">SUM(D6:I6)</f>
        <v>3511.4900000000002</v>
      </c>
      <c r="K6" s="75">
        <f>'12M€'!G31</f>
        <v>2557.4</v>
      </c>
    </row>
    <row r="7" spans="3:11" ht="25" customHeight="1" thickBot="1">
      <c r="C7" s="64" t="s">
        <v>106</v>
      </c>
      <c r="D7" s="81">
        <v>4</v>
      </c>
      <c r="E7" s="81">
        <f t="shared" si="1"/>
        <v>64.772000000000006</v>
      </c>
      <c r="F7" s="81">
        <v>100</v>
      </c>
      <c r="G7" s="81">
        <f t="shared" si="3"/>
        <v>1230.6679999999999</v>
      </c>
      <c r="H7" s="81">
        <f t="shared" si="0"/>
        <v>323.86</v>
      </c>
      <c r="I7" s="84">
        <v>55</v>
      </c>
      <c r="J7" s="81">
        <f t="shared" si="4"/>
        <v>1778.2999999999997</v>
      </c>
      <c r="K7" s="75">
        <f>'12M€'!G23-'12M€'!G22</f>
        <v>1295.44</v>
      </c>
    </row>
    <row r="8" spans="3:11" ht="25" customHeight="1" thickBot="1">
      <c r="C8" s="64" t="s">
        <v>107</v>
      </c>
      <c r="D8" s="81">
        <v>4</v>
      </c>
      <c r="E8" s="81">
        <f t="shared" si="1"/>
        <v>7</v>
      </c>
      <c r="F8" s="81">
        <v>30</v>
      </c>
      <c r="G8" s="81">
        <f t="shared" si="3"/>
        <v>133</v>
      </c>
      <c r="H8" s="81">
        <f t="shared" si="0"/>
        <v>35</v>
      </c>
      <c r="I8" s="84">
        <v>20</v>
      </c>
      <c r="J8" s="81">
        <f t="shared" si="4"/>
        <v>229</v>
      </c>
      <c r="K8" s="75">
        <f>'12M€'!G48-'12M€'!G38</f>
        <v>140</v>
      </c>
    </row>
    <row r="9" spans="3:11" ht="25" customHeight="1" thickBot="1">
      <c r="C9" s="64" t="s">
        <v>108</v>
      </c>
      <c r="D9" s="81">
        <v>4</v>
      </c>
      <c r="E9" s="81">
        <f t="shared" si="1"/>
        <v>37.99</v>
      </c>
      <c r="F9" s="81">
        <v>75</v>
      </c>
      <c r="G9" s="81">
        <f t="shared" si="3"/>
        <v>721.81</v>
      </c>
      <c r="H9" s="81">
        <f t="shared" si="0"/>
        <v>189.95</v>
      </c>
      <c r="I9" s="84">
        <v>65</v>
      </c>
      <c r="J9" s="81">
        <f t="shared" si="4"/>
        <v>1093.75</v>
      </c>
      <c r="K9" s="75">
        <f>'12M€'!G32+'12M€'!G61+'12M€'!G62</f>
        <v>759.8</v>
      </c>
    </row>
    <row r="10" spans="3:11" ht="25" customHeight="1" thickBot="1">
      <c r="C10" s="64" t="s">
        <v>109</v>
      </c>
      <c r="D10" s="81">
        <v>4</v>
      </c>
      <c r="E10" s="81">
        <f t="shared" si="1"/>
        <v>9.75</v>
      </c>
      <c r="F10" s="81">
        <v>50</v>
      </c>
      <c r="G10" s="81">
        <f t="shared" si="3"/>
        <v>185.25</v>
      </c>
      <c r="H10" s="81">
        <v>35</v>
      </c>
      <c r="I10" s="84">
        <v>35</v>
      </c>
      <c r="J10" s="81">
        <f t="shared" si="4"/>
        <v>319</v>
      </c>
      <c r="K10">
        <f>'12M€'!G96+'12M€'!G97+'12M€'!G99+'12M€'!G106+'12M€'!G107</f>
        <v>195</v>
      </c>
    </row>
    <row r="11" spans="3:11" ht="25" customHeight="1" thickBot="1">
      <c r="C11" s="64" t="s">
        <v>110</v>
      </c>
      <c r="D11" s="81">
        <v>4</v>
      </c>
      <c r="E11" s="81">
        <v>10</v>
      </c>
      <c r="F11" s="81">
        <v>50</v>
      </c>
      <c r="G11" s="81">
        <f t="shared" si="3"/>
        <v>123.5</v>
      </c>
      <c r="H11" s="81">
        <f t="shared" ref="H11:H12" si="5">K11*0.2</f>
        <v>26</v>
      </c>
      <c r="I11" s="84">
        <v>25</v>
      </c>
      <c r="J11" s="81">
        <f t="shared" si="4"/>
        <v>238.5</v>
      </c>
      <c r="K11" s="75">
        <f>'12M€'!G33+'12M€'!G105+'12M€'!G109+'12M€'!G38</f>
        <v>130</v>
      </c>
    </row>
    <row r="12" spans="3:11" ht="37.5" customHeight="1" thickBot="1">
      <c r="C12" s="64" t="s">
        <v>111</v>
      </c>
      <c r="D12" s="81">
        <v>4</v>
      </c>
      <c r="E12" s="81">
        <f t="shared" si="1"/>
        <v>0</v>
      </c>
      <c r="F12" s="81">
        <f t="shared" si="2"/>
        <v>0</v>
      </c>
      <c r="G12" s="81">
        <f t="shared" si="3"/>
        <v>0</v>
      </c>
      <c r="H12" s="81">
        <f t="shared" si="5"/>
        <v>0</v>
      </c>
      <c r="I12" s="84"/>
      <c r="J12" s="81">
        <f t="shared" si="4"/>
        <v>4</v>
      </c>
    </row>
    <row r="13" spans="3:11" ht="25" customHeight="1" thickBot="1">
      <c r="C13" s="64" t="s">
        <v>112</v>
      </c>
      <c r="D13" s="81">
        <v>4</v>
      </c>
      <c r="E13" s="81">
        <f>$K13*0.1</f>
        <v>129.18</v>
      </c>
      <c r="F13" s="81">
        <v>150</v>
      </c>
      <c r="G13" s="81">
        <f t="shared" si="3"/>
        <v>1227.2099999999998</v>
      </c>
      <c r="H13" s="81">
        <f>K13*0.25</f>
        <v>322.95</v>
      </c>
      <c r="I13" s="84">
        <v>25</v>
      </c>
      <c r="J13" s="81">
        <f t="shared" si="4"/>
        <v>1858.34</v>
      </c>
      <c r="K13" s="75">
        <f>'12M€'!G88+'12M€'!G91+'12M€'!G92+'12M€'!G93+'12M€'!G95+'12M€'!G94</f>
        <v>1291.8</v>
      </c>
    </row>
    <row r="14" spans="3:11" ht="25" customHeight="1" thickBot="1">
      <c r="C14" s="64" t="s">
        <v>113</v>
      </c>
      <c r="D14" s="81">
        <v>4</v>
      </c>
      <c r="E14" s="81">
        <f t="shared" si="1"/>
        <v>5</v>
      </c>
      <c r="F14" s="81">
        <v>15</v>
      </c>
      <c r="G14" s="81">
        <f t="shared" si="3"/>
        <v>95</v>
      </c>
      <c r="H14" s="81">
        <f>K14*0.25</f>
        <v>25</v>
      </c>
      <c r="I14" s="84">
        <v>20</v>
      </c>
      <c r="J14" s="81">
        <f t="shared" si="4"/>
        <v>164</v>
      </c>
      <c r="K14" s="75">
        <f>'12M€'!G22+'12M€'!G34</f>
        <v>100</v>
      </c>
    </row>
    <row r="15" spans="3:11" ht="25" customHeight="1" thickBot="1">
      <c r="C15" s="64" t="s">
        <v>114</v>
      </c>
      <c r="D15" s="81">
        <v>4</v>
      </c>
      <c r="E15" s="81">
        <f t="shared" si="1"/>
        <v>8.5</v>
      </c>
      <c r="F15" s="81">
        <v>50</v>
      </c>
      <c r="G15" s="81">
        <f t="shared" si="3"/>
        <v>161.5</v>
      </c>
      <c r="H15" s="81">
        <f>K15*0.25</f>
        <v>42.5</v>
      </c>
      <c r="I15" s="84">
        <v>30</v>
      </c>
      <c r="J15" s="81">
        <f t="shared" si="4"/>
        <v>296.5</v>
      </c>
      <c r="K15">
        <f>'12M€'!G104+'12M€'!G108</f>
        <v>170</v>
      </c>
    </row>
    <row r="16" spans="3:11" ht="25" customHeight="1" thickBot="1">
      <c r="C16" s="64" t="s">
        <v>115</v>
      </c>
      <c r="D16" s="81">
        <f t="shared" ref="D16:I16" si="6">SUM(D5:D15)*0.1</f>
        <v>4.5</v>
      </c>
      <c r="E16" s="81">
        <f t="shared" si="6"/>
        <v>47.936200000000007</v>
      </c>
      <c r="F16" s="81">
        <f t="shared" si="6"/>
        <v>93.434000000000012</v>
      </c>
      <c r="G16" s="81">
        <f t="shared" si="6"/>
        <v>781.41680000000008</v>
      </c>
      <c r="H16" s="81">
        <f t="shared" si="6"/>
        <v>203.61100000000002</v>
      </c>
      <c r="I16" s="81">
        <f t="shared" si="6"/>
        <v>36.5</v>
      </c>
      <c r="J16" s="85">
        <f>SUM(J5:J15)*0.1</f>
        <v>1167.3979999999999</v>
      </c>
    </row>
    <row r="17" spans="3:14" ht="25" customHeight="1" thickTop="1" thickBot="1">
      <c r="C17" s="67" t="s">
        <v>116</v>
      </c>
      <c r="D17" s="86">
        <f t="shared" ref="D17:H17" si="7">SUM(D5:D16)</f>
        <v>49.5</v>
      </c>
      <c r="E17" s="86">
        <f t="shared" si="7"/>
        <v>527.29820000000007</v>
      </c>
      <c r="F17" s="86">
        <f t="shared" si="7"/>
        <v>1027.7740000000001</v>
      </c>
      <c r="G17" s="86">
        <f t="shared" si="7"/>
        <v>8595.5848000000005</v>
      </c>
      <c r="H17" s="86">
        <f t="shared" si="7"/>
        <v>2239.721</v>
      </c>
      <c r="I17" s="86">
        <f>SUM(I5:I16)</f>
        <v>401.5</v>
      </c>
      <c r="J17" s="87">
        <f>SUM(J5:J16)</f>
        <v>12841.377999999999</v>
      </c>
      <c r="K17" s="75">
        <f>SUM(K5:K15)</f>
        <v>8225.44</v>
      </c>
      <c r="L17" s="75">
        <f>'12M€'!G117</f>
        <v>8225.44</v>
      </c>
      <c r="M17" s="83">
        <f>SUM(J5:J16)</f>
        <v>12841.377999999999</v>
      </c>
      <c r="N17" s="75">
        <f>'12M€'!G123</f>
        <v>12842.984</v>
      </c>
    </row>
    <row r="18" spans="3:14" ht="13.5" customHeight="1" thickBot="1">
      <c r="C18" s="68"/>
      <c r="D18" s="89"/>
      <c r="E18" s="89"/>
      <c r="F18" s="89"/>
      <c r="G18" s="89"/>
      <c r="H18" s="89"/>
      <c r="I18" s="90"/>
      <c r="J18" s="91"/>
    </row>
    <row r="19" spans="3:14" ht="29.25" customHeight="1" thickTop="1" thickBot="1">
      <c r="C19" s="64" t="s">
        <v>117</v>
      </c>
      <c r="D19" s="69">
        <v>1</v>
      </c>
      <c r="E19" s="69">
        <v>4</v>
      </c>
      <c r="F19" s="69">
        <v>9</v>
      </c>
      <c r="G19" s="69">
        <v>7</v>
      </c>
      <c r="H19" s="69">
        <v>10</v>
      </c>
      <c r="I19" s="70">
        <v>3</v>
      </c>
      <c r="J19" s="71">
        <f>SUM(D19:I19)</f>
        <v>34</v>
      </c>
    </row>
    <row r="20" spans="3:14" ht="25" customHeight="1" thickBot="1">
      <c r="C20" s="68" t="s">
        <v>121</v>
      </c>
      <c r="D20" s="92">
        <f>D17</f>
        <v>49.5</v>
      </c>
      <c r="E20" s="92">
        <v>500</v>
      </c>
      <c r="F20" s="92">
        <v>900</v>
      </c>
      <c r="G20" s="92">
        <v>750</v>
      </c>
      <c r="H20" s="92">
        <v>860</v>
      </c>
      <c r="I20" s="93">
        <v>390</v>
      </c>
      <c r="J20" s="94">
        <f>SUM(D20:I20)</f>
        <v>3449.5</v>
      </c>
    </row>
    <row r="21" spans="3:14" ht="25" customHeight="1" thickTop="1"/>
    <row r="22" spans="3:14" ht="25" customHeight="1"/>
    <row r="23" spans="3:14" ht="31.5" customHeight="1"/>
    <row r="24" spans="3:14" ht="25" customHeight="1"/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I146"/>
  <sheetViews>
    <sheetView workbookViewId="0">
      <selection activeCell="D76" sqref="D76"/>
    </sheetView>
  </sheetViews>
  <sheetFormatPr baseColWidth="10" defaultColWidth="8.83203125" defaultRowHeight="14" x14ac:dyDescent="0"/>
  <cols>
    <col min="4" max="4" width="49.33203125" bestFit="1" customWidth="1"/>
    <col min="9" max="9" width="35.6640625" bestFit="1" customWidth="1"/>
  </cols>
  <sheetData>
    <row r="3" spans="3:8">
      <c r="E3" s="1"/>
      <c r="F3" s="1"/>
      <c r="G3" s="2"/>
      <c r="H3" s="1"/>
    </row>
    <row r="4" spans="3:8" ht="15" thickBot="1">
      <c r="E4" s="3" t="s">
        <v>0</v>
      </c>
      <c r="F4" s="1"/>
      <c r="G4" s="4" t="s">
        <v>1</v>
      </c>
      <c r="H4" s="1"/>
    </row>
    <row r="5" spans="3:8" ht="15" thickBot="1">
      <c r="C5" s="99" t="s">
        <v>2</v>
      </c>
      <c r="D5" s="5" t="s">
        <v>3</v>
      </c>
      <c r="E5" s="6"/>
      <c r="F5" s="6"/>
      <c r="G5" s="7"/>
      <c r="H5" s="1"/>
    </row>
    <row r="6" spans="3:8">
      <c r="C6" s="100"/>
      <c r="D6" s="8" t="s">
        <v>4</v>
      </c>
      <c r="E6" s="9">
        <v>70</v>
      </c>
      <c r="F6" s="10" t="s">
        <v>5</v>
      </c>
      <c r="G6" s="11">
        <f>15*E6</f>
        <v>1050</v>
      </c>
      <c r="H6" s="1"/>
    </row>
    <row r="7" spans="3:8" ht="15" thickBot="1">
      <c r="C7" s="100"/>
      <c r="D7" s="12" t="s">
        <v>6</v>
      </c>
      <c r="E7" s="9">
        <v>120</v>
      </c>
      <c r="F7" s="10" t="s">
        <v>5</v>
      </c>
      <c r="G7" s="11">
        <f>0.8*E7</f>
        <v>96</v>
      </c>
      <c r="H7" s="1"/>
    </row>
    <row r="8" spans="3:8" ht="15" thickBot="1">
      <c r="C8" s="100"/>
      <c r="D8" s="13"/>
      <c r="E8" s="10"/>
      <c r="F8" s="10"/>
      <c r="G8" s="14">
        <f>SUM(G6:G7)</f>
        <v>1146</v>
      </c>
      <c r="H8" s="1"/>
    </row>
    <row r="9" spans="3:8" ht="15" thickBot="1">
      <c r="C9" s="100"/>
      <c r="D9" s="13"/>
      <c r="E9" s="10"/>
      <c r="F9" s="10"/>
      <c r="G9" s="11"/>
      <c r="H9" s="1"/>
    </row>
    <row r="10" spans="3:8" ht="15" thickBot="1">
      <c r="C10" s="100"/>
      <c r="D10" s="5" t="s">
        <v>7</v>
      </c>
      <c r="E10" s="10"/>
      <c r="F10" s="10"/>
      <c r="G10" s="15"/>
      <c r="H10" s="1"/>
    </row>
    <row r="11" spans="3:8" ht="15" thickBot="1">
      <c r="C11" s="100"/>
      <c r="D11" s="16" t="s">
        <v>8</v>
      </c>
      <c r="E11" s="10"/>
      <c r="F11" s="10"/>
      <c r="G11" s="17">
        <v>350</v>
      </c>
      <c r="H11" s="1"/>
    </row>
    <row r="12" spans="3:8" ht="15" thickBot="1">
      <c r="C12" s="100"/>
      <c r="D12" s="5" t="s">
        <v>9</v>
      </c>
      <c r="E12" s="10"/>
      <c r="F12" s="10"/>
      <c r="G12" s="11"/>
      <c r="H12" s="1" t="s">
        <v>10</v>
      </c>
    </row>
    <row r="13" spans="3:8">
      <c r="C13" s="100"/>
      <c r="D13" s="18" t="s">
        <v>11</v>
      </c>
      <c r="E13" s="88">
        <v>3</v>
      </c>
      <c r="F13" s="20">
        <v>198</v>
      </c>
      <c r="G13" s="21">
        <f>E13*F13</f>
        <v>594</v>
      </c>
      <c r="H13" s="1"/>
    </row>
    <row r="14" spans="3:8">
      <c r="C14" s="100"/>
      <c r="D14" s="18" t="s">
        <v>12</v>
      </c>
      <c r="E14" s="19">
        <v>1</v>
      </c>
      <c r="F14" s="20">
        <v>144</v>
      </c>
      <c r="G14" s="21">
        <f t="shared" ref="G14:G15" si="0">E14*F14</f>
        <v>144</v>
      </c>
      <c r="H14" s="1">
        <v>122.7</v>
      </c>
    </row>
    <row r="15" spans="3:8">
      <c r="C15" s="100"/>
      <c r="D15" s="18" t="s">
        <v>13</v>
      </c>
      <c r="E15" s="19">
        <v>2</v>
      </c>
      <c r="F15" s="20">
        <v>131</v>
      </c>
      <c r="G15" s="21">
        <f t="shared" si="0"/>
        <v>262</v>
      </c>
      <c r="H15" s="1">
        <v>245</v>
      </c>
    </row>
    <row r="16" spans="3:8">
      <c r="C16" s="100"/>
      <c r="D16" s="18" t="s">
        <v>14</v>
      </c>
      <c r="E16" s="19">
        <v>1</v>
      </c>
      <c r="F16" s="10"/>
      <c r="G16" s="21">
        <v>22.1</v>
      </c>
      <c r="H16" s="1"/>
    </row>
    <row r="17" spans="3:9">
      <c r="C17" s="100"/>
      <c r="D17" s="18" t="s">
        <v>15</v>
      </c>
      <c r="E17" s="19">
        <v>1</v>
      </c>
      <c r="F17" s="10"/>
      <c r="G17" s="21">
        <v>194.39999999999998</v>
      </c>
      <c r="H17" s="1"/>
    </row>
    <row r="18" spans="3:9">
      <c r="C18" s="100"/>
      <c r="D18" s="18" t="s">
        <v>16</v>
      </c>
      <c r="E18" s="19">
        <v>2</v>
      </c>
      <c r="F18" s="10"/>
      <c r="G18" s="21">
        <v>61.2</v>
      </c>
      <c r="H18" s="1"/>
      <c r="I18" s="1"/>
    </row>
    <row r="19" spans="3:9">
      <c r="C19" s="100"/>
      <c r="D19" s="18" t="s">
        <v>17</v>
      </c>
      <c r="E19" s="19">
        <v>2</v>
      </c>
      <c r="F19" s="10"/>
      <c r="G19" s="21">
        <v>23.6</v>
      </c>
      <c r="H19" s="1"/>
      <c r="I19" s="1"/>
    </row>
    <row r="20" spans="3:9">
      <c r="C20" s="100"/>
      <c r="D20" s="18" t="s">
        <v>18</v>
      </c>
      <c r="E20" s="19">
        <v>1</v>
      </c>
      <c r="F20" s="10"/>
      <c r="G20" s="21">
        <v>85</v>
      </c>
      <c r="H20" s="1"/>
      <c r="I20" s="1"/>
    </row>
    <row r="21" spans="3:9">
      <c r="C21" s="100"/>
      <c r="D21" s="18" t="s">
        <v>19</v>
      </c>
      <c r="E21" s="19">
        <v>3</v>
      </c>
      <c r="F21" s="10"/>
      <c r="G21" s="21">
        <v>145.43999999999997</v>
      </c>
      <c r="H21" s="1"/>
      <c r="I21" s="1"/>
    </row>
    <row r="22" spans="3:9" ht="15" thickBot="1">
      <c r="C22" s="100"/>
      <c r="D22" s="22" t="s">
        <v>20</v>
      </c>
      <c r="E22" s="23">
        <v>1</v>
      </c>
      <c r="F22" s="10"/>
      <c r="G22" s="24">
        <v>50</v>
      </c>
      <c r="H22" s="1"/>
      <c r="I22" s="1"/>
    </row>
    <row r="23" spans="3:9" ht="15" thickBot="1">
      <c r="C23" s="100"/>
      <c r="D23" s="13"/>
      <c r="E23" s="10"/>
      <c r="F23" s="10"/>
      <c r="G23" s="25">
        <f>SUM(G16:G22)+G13+H14+H15</f>
        <v>1543.44</v>
      </c>
      <c r="H23" s="1"/>
      <c r="I23" s="1"/>
    </row>
    <row r="24" spans="3:9" ht="15" thickBot="1">
      <c r="C24" s="100"/>
      <c r="D24" s="5" t="s">
        <v>21</v>
      </c>
      <c r="E24" s="10">
        <v>0</v>
      </c>
      <c r="F24" s="10"/>
      <c r="G24" s="26">
        <v>0</v>
      </c>
      <c r="H24" s="1"/>
      <c r="I24" s="1"/>
    </row>
    <row r="25" spans="3:9" ht="15" thickBot="1">
      <c r="C25" s="100"/>
      <c r="D25" s="13"/>
      <c r="E25" s="10"/>
      <c r="F25" s="10"/>
      <c r="G25" s="27"/>
      <c r="H25" s="1"/>
      <c r="I25" s="1"/>
    </row>
    <row r="26" spans="3:9" ht="15" thickBot="1">
      <c r="C26" s="100"/>
      <c r="D26" s="5" t="s">
        <v>22</v>
      </c>
      <c r="E26" s="10"/>
      <c r="F26" s="10"/>
      <c r="G26" s="27"/>
      <c r="H26" s="1"/>
      <c r="I26" s="1"/>
    </row>
    <row r="27" spans="3:9">
      <c r="C27" s="100"/>
      <c r="D27" s="18" t="s">
        <v>23</v>
      </c>
      <c r="E27" s="10">
        <v>57</v>
      </c>
      <c r="F27" s="10">
        <f>F28*1.2</f>
        <v>36</v>
      </c>
      <c r="G27" s="28">
        <f>F27*E27</f>
        <v>2052</v>
      </c>
      <c r="H27" s="102" t="s">
        <v>24</v>
      </c>
      <c r="I27" s="103"/>
    </row>
    <row r="28" spans="3:9">
      <c r="C28" s="100"/>
      <c r="D28" s="18" t="s">
        <v>25</v>
      </c>
      <c r="E28" s="10">
        <v>1.5</v>
      </c>
      <c r="F28" s="10">
        <v>30</v>
      </c>
      <c r="G28" s="28">
        <f>F28*E28</f>
        <v>45</v>
      </c>
      <c r="H28" s="104"/>
      <c r="I28" s="105"/>
    </row>
    <row r="29" spans="3:9">
      <c r="C29" s="100"/>
      <c r="D29" s="18" t="s">
        <v>26</v>
      </c>
      <c r="E29" s="10">
        <v>57</v>
      </c>
      <c r="F29" s="10">
        <v>7.2</v>
      </c>
      <c r="G29" s="28">
        <f>F29*E29</f>
        <v>410.40000000000003</v>
      </c>
      <c r="H29" s="104"/>
      <c r="I29" s="105"/>
    </row>
    <row r="30" spans="3:9" ht="15" thickBot="1">
      <c r="C30" s="100"/>
      <c r="D30" s="22" t="s">
        <v>27</v>
      </c>
      <c r="E30" s="10"/>
      <c r="F30" s="10"/>
      <c r="G30" s="28">
        <v>50</v>
      </c>
      <c r="H30" s="104"/>
      <c r="I30" s="105"/>
    </row>
    <row r="31" spans="3:9" ht="15" thickBot="1">
      <c r="C31" s="100"/>
      <c r="D31" s="13"/>
      <c r="E31" s="10"/>
      <c r="F31" s="10"/>
      <c r="G31" s="29">
        <f>SUM(G27:G30)</f>
        <v>2557.4</v>
      </c>
      <c r="H31" s="106"/>
      <c r="I31" s="107"/>
    </row>
    <row r="32" spans="3:9" ht="15" thickBot="1">
      <c r="C32" s="100"/>
      <c r="D32" s="5" t="s">
        <v>28</v>
      </c>
      <c r="E32" s="10">
        <v>4</v>
      </c>
      <c r="F32" s="30">
        <v>10</v>
      </c>
      <c r="G32" s="31">
        <f>F32*E32</f>
        <v>40</v>
      </c>
      <c r="H32" s="1"/>
      <c r="I32" s="1"/>
    </row>
    <row r="33" spans="3:9" ht="15" thickBot="1">
      <c r="C33" s="100"/>
      <c r="D33" s="5" t="s">
        <v>95</v>
      </c>
      <c r="E33" s="10">
        <v>1</v>
      </c>
      <c r="F33" s="10">
        <v>50</v>
      </c>
      <c r="G33" s="32">
        <v>30</v>
      </c>
      <c r="H33" s="1"/>
      <c r="I33" s="33"/>
    </row>
    <row r="34" spans="3:9" ht="15" thickBot="1">
      <c r="C34" s="100"/>
      <c r="D34" s="13" t="s">
        <v>29</v>
      </c>
      <c r="E34" s="10"/>
      <c r="F34" s="10"/>
      <c r="G34" s="24">
        <v>50</v>
      </c>
      <c r="H34" s="1"/>
      <c r="I34" s="1"/>
    </row>
    <row r="35" spans="3:9" ht="15" thickBot="1">
      <c r="C35" s="101"/>
      <c r="D35" s="34"/>
      <c r="E35" s="35"/>
      <c r="F35" s="35"/>
      <c r="G35" s="36">
        <f>G8+G23+G31+G32+G33+G11+G34</f>
        <v>5716.84</v>
      </c>
      <c r="H35" s="1"/>
      <c r="I35" s="1"/>
    </row>
    <row r="36" spans="3:9">
      <c r="E36" s="1"/>
      <c r="F36" s="1"/>
      <c r="G36" s="37"/>
      <c r="H36" s="1"/>
      <c r="I36" s="1"/>
    </row>
    <row r="37" spans="3:9" ht="15" thickBot="1">
      <c r="E37" s="3" t="s">
        <v>0</v>
      </c>
      <c r="F37" s="1"/>
      <c r="G37" s="4" t="s">
        <v>1</v>
      </c>
      <c r="H37" s="1"/>
      <c r="I37" s="1"/>
    </row>
    <row r="38" spans="3:9" ht="15" thickBot="1">
      <c r="C38" s="96" t="s">
        <v>30</v>
      </c>
      <c r="D38" s="77" t="s">
        <v>31</v>
      </c>
      <c r="E38" s="6">
        <v>1</v>
      </c>
      <c r="F38" s="6">
        <v>40</v>
      </c>
      <c r="G38" s="78">
        <f>F38*E38</f>
        <v>40</v>
      </c>
      <c r="H38" s="1"/>
      <c r="I38" s="33"/>
    </row>
    <row r="39" spans="3:9" ht="15" thickBot="1">
      <c r="C39" s="97"/>
      <c r="D39" s="77" t="s">
        <v>32</v>
      </c>
      <c r="E39" s="10">
        <v>1</v>
      </c>
      <c r="F39" s="10">
        <v>100</v>
      </c>
      <c r="G39" s="76">
        <f>F39*E39</f>
        <v>100</v>
      </c>
      <c r="H39" s="1"/>
      <c r="I39" s="1"/>
    </row>
    <row r="40" spans="3:9" ht="15" thickBot="1">
      <c r="C40" s="97"/>
      <c r="D40" s="77" t="s">
        <v>33</v>
      </c>
      <c r="E40" s="10">
        <v>2</v>
      </c>
      <c r="F40" s="10">
        <v>30</v>
      </c>
      <c r="G40" s="38">
        <f>F40*E40</f>
        <v>60</v>
      </c>
      <c r="H40" s="1"/>
      <c r="I40" s="33"/>
    </row>
    <row r="41" spans="3:9" ht="15" thickBot="1">
      <c r="C41" s="97"/>
      <c r="D41" s="77" t="s">
        <v>34</v>
      </c>
      <c r="E41" s="10">
        <v>1</v>
      </c>
      <c r="F41" s="10">
        <v>5</v>
      </c>
      <c r="G41" s="38">
        <f>F41*E41</f>
        <v>5</v>
      </c>
      <c r="H41" s="1"/>
      <c r="I41" s="1"/>
    </row>
    <row r="42" spans="3:9">
      <c r="C42" s="97"/>
      <c r="D42" s="79" t="s">
        <v>35</v>
      </c>
      <c r="E42" s="10">
        <v>1</v>
      </c>
      <c r="F42" s="10">
        <v>20</v>
      </c>
      <c r="G42" s="39">
        <f>F42*E42</f>
        <v>20</v>
      </c>
      <c r="H42" s="1"/>
      <c r="I42" s="1"/>
    </row>
    <row r="43" spans="3:9">
      <c r="C43" s="97"/>
      <c r="D43" s="79"/>
      <c r="E43" s="10">
        <v>0</v>
      </c>
      <c r="F43" s="10">
        <v>0</v>
      </c>
      <c r="G43" s="39">
        <f t="shared" ref="G43:G46" si="1">F43*E43</f>
        <v>0</v>
      </c>
      <c r="H43" s="1"/>
      <c r="I43" s="1"/>
    </row>
    <row r="44" spans="3:9">
      <c r="C44" s="97"/>
      <c r="D44" s="79" t="s">
        <v>36</v>
      </c>
      <c r="E44" s="10">
        <v>0</v>
      </c>
      <c r="F44" s="10">
        <v>5</v>
      </c>
      <c r="G44" s="39">
        <f t="shared" si="1"/>
        <v>0</v>
      </c>
      <c r="H44" s="1"/>
      <c r="I44" s="1"/>
    </row>
    <row r="45" spans="3:9">
      <c r="C45" s="97"/>
      <c r="D45" s="79" t="s">
        <v>120</v>
      </c>
      <c r="E45" s="10">
        <v>1</v>
      </c>
      <c r="F45" s="10">
        <v>150</v>
      </c>
      <c r="G45" s="39">
        <f t="shared" si="1"/>
        <v>150</v>
      </c>
      <c r="H45" s="1"/>
      <c r="I45" s="1"/>
    </row>
    <row r="46" spans="3:9">
      <c r="C46" s="97"/>
      <c r="D46" s="79" t="s">
        <v>37</v>
      </c>
      <c r="E46" s="10">
        <v>1</v>
      </c>
      <c r="F46" s="10">
        <v>50</v>
      </c>
      <c r="G46" s="39">
        <f t="shared" si="1"/>
        <v>50</v>
      </c>
      <c r="H46" s="1"/>
      <c r="I46" s="1"/>
    </row>
    <row r="47" spans="3:9" ht="15" thickBot="1">
      <c r="C47" s="97"/>
      <c r="D47" s="79"/>
      <c r="E47" s="10"/>
      <c r="F47" s="10"/>
      <c r="G47" s="40"/>
      <c r="H47" s="1"/>
    </row>
    <row r="48" spans="3:9" ht="15" thickBot="1">
      <c r="C48" s="98"/>
      <c r="D48" s="80"/>
      <c r="E48" s="35"/>
      <c r="F48" s="35"/>
      <c r="G48" s="36">
        <f>G38+G39+G40+G41+G42+G43+G44+G45+G46</f>
        <v>425</v>
      </c>
      <c r="H48" s="1"/>
    </row>
    <row r="49" spans="3:8">
      <c r="E49" s="1"/>
      <c r="F49" s="1"/>
      <c r="G49" s="2"/>
      <c r="H49" s="1"/>
    </row>
    <row r="50" spans="3:8" ht="15" thickBot="1">
      <c r="E50" s="3" t="s">
        <v>0</v>
      </c>
      <c r="F50" s="1"/>
      <c r="G50" s="4" t="s">
        <v>1</v>
      </c>
      <c r="H50" s="1"/>
    </row>
    <row r="51" spans="3:8" ht="15" thickBot="1">
      <c r="C51" s="96" t="s">
        <v>38</v>
      </c>
      <c r="D51" s="5" t="s">
        <v>39</v>
      </c>
      <c r="E51" s="6"/>
      <c r="F51" s="6"/>
      <c r="G51" s="7"/>
      <c r="H51" s="1"/>
    </row>
    <row r="52" spans="3:8">
      <c r="C52" s="97"/>
      <c r="D52" s="18" t="s">
        <v>40</v>
      </c>
      <c r="E52" s="30">
        <v>15</v>
      </c>
      <c r="F52" s="10">
        <v>35</v>
      </c>
      <c r="G52" s="41">
        <f>F52*E52</f>
        <v>525</v>
      </c>
      <c r="H52" s="1"/>
    </row>
    <row r="53" spans="3:8">
      <c r="C53" s="97"/>
      <c r="D53" s="18" t="s">
        <v>41</v>
      </c>
      <c r="E53" s="30">
        <v>15</v>
      </c>
      <c r="F53" s="10">
        <v>20</v>
      </c>
      <c r="G53" s="41">
        <f t="shared" ref="G53:G66" si="2">F53*E53</f>
        <v>300</v>
      </c>
      <c r="H53" s="1"/>
    </row>
    <row r="54" spans="3:8">
      <c r="C54" s="97"/>
      <c r="D54" s="18" t="s">
        <v>42</v>
      </c>
      <c r="E54" s="30">
        <v>15</v>
      </c>
      <c r="F54" s="10">
        <v>16.5</v>
      </c>
      <c r="G54" s="41">
        <f t="shared" si="2"/>
        <v>247.5</v>
      </c>
      <c r="H54" s="1"/>
    </row>
    <row r="55" spans="3:8">
      <c r="C55" s="97"/>
      <c r="D55" s="18" t="s">
        <v>43</v>
      </c>
      <c r="E55" s="30">
        <v>300</v>
      </c>
      <c r="F55" s="10">
        <v>2</v>
      </c>
      <c r="G55" s="41">
        <f t="shared" si="2"/>
        <v>600</v>
      </c>
      <c r="H55" s="1"/>
    </row>
    <row r="56" spans="3:8">
      <c r="C56" s="97"/>
      <c r="D56" s="18" t="s">
        <v>44</v>
      </c>
      <c r="E56" s="30">
        <v>8</v>
      </c>
      <c r="F56" s="10">
        <v>1.5</v>
      </c>
      <c r="G56" s="41">
        <f t="shared" si="2"/>
        <v>12</v>
      </c>
      <c r="H56" s="1"/>
    </row>
    <row r="57" spans="3:8">
      <c r="C57" s="97"/>
      <c r="D57" s="18" t="s">
        <v>45</v>
      </c>
      <c r="E57" s="30">
        <v>17</v>
      </c>
      <c r="F57" s="10">
        <v>0.3</v>
      </c>
      <c r="G57" s="41">
        <f t="shared" si="2"/>
        <v>5.0999999999999996</v>
      </c>
      <c r="H57" s="1"/>
    </row>
    <row r="58" spans="3:8">
      <c r="C58" s="97"/>
      <c r="D58" s="18" t="s">
        <v>46</v>
      </c>
      <c r="E58" s="30">
        <f>3.45*E54+0.67*E56/8</f>
        <v>52.42</v>
      </c>
      <c r="F58" s="10">
        <v>2</v>
      </c>
      <c r="G58" s="41">
        <f t="shared" si="2"/>
        <v>104.84</v>
      </c>
      <c r="H58" s="1"/>
    </row>
    <row r="59" spans="3:8">
      <c r="C59" s="97"/>
      <c r="D59" s="18" t="s">
        <v>47</v>
      </c>
      <c r="E59" s="30">
        <v>30</v>
      </c>
      <c r="F59" s="10">
        <v>0.42</v>
      </c>
      <c r="G59" s="41">
        <f t="shared" si="2"/>
        <v>12.6</v>
      </c>
      <c r="H59" s="1"/>
    </row>
    <row r="60" spans="3:8" ht="15" thickBot="1">
      <c r="C60" s="97"/>
      <c r="D60" s="18" t="s">
        <v>48</v>
      </c>
      <c r="E60" s="30">
        <v>2</v>
      </c>
      <c r="F60" s="10">
        <v>2.5</v>
      </c>
      <c r="G60" s="41">
        <f t="shared" si="2"/>
        <v>5</v>
      </c>
      <c r="H60" s="1"/>
    </row>
    <row r="61" spans="3:8" ht="15" thickBot="1">
      <c r="C61" s="97"/>
      <c r="D61" s="13"/>
      <c r="E61" s="10"/>
      <c r="F61" s="10" t="s">
        <v>49</v>
      </c>
      <c r="G61" s="25">
        <f>SUM(G52:G60)</f>
        <v>1812.0399999999997</v>
      </c>
      <c r="H61" s="1"/>
    </row>
    <row r="62" spans="3:8" ht="15" thickBot="1">
      <c r="C62" s="97"/>
      <c r="D62" s="5" t="s">
        <v>50</v>
      </c>
      <c r="E62" s="10">
        <v>1</v>
      </c>
      <c r="F62" s="10">
        <v>100</v>
      </c>
      <c r="G62" s="31">
        <f t="shared" si="2"/>
        <v>100</v>
      </c>
      <c r="H62" s="1"/>
    </row>
    <row r="63" spans="3:8" ht="15" thickBot="1">
      <c r="C63" s="97"/>
      <c r="D63" s="13"/>
      <c r="E63" s="10"/>
      <c r="F63" s="10"/>
      <c r="G63" s="27"/>
      <c r="H63" s="1"/>
    </row>
    <row r="64" spans="3:8" ht="15" thickBot="1">
      <c r="C64" s="97"/>
      <c r="D64" s="5" t="s">
        <v>51</v>
      </c>
      <c r="E64" s="10">
        <v>1</v>
      </c>
      <c r="F64" s="10">
        <v>60</v>
      </c>
      <c r="G64" s="14">
        <f t="shared" si="2"/>
        <v>60</v>
      </c>
      <c r="H64" s="1"/>
    </row>
    <row r="65" spans="3:8" ht="15" thickBot="1">
      <c r="C65" s="97"/>
      <c r="D65" s="13"/>
      <c r="E65" s="10"/>
      <c r="F65" s="10"/>
      <c r="G65" s="27"/>
      <c r="H65" s="1"/>
    </row>
    <row r="66" spans="3:8" ht="15" thickBot="1">
      <c r="C66" s="97"/>
      <c r="D66" s="5" t="s">
        <v>52</v>
      </c>
      <c r="E66" s="10">
        <v>10</v>
      </c>
      <c r="F66" s="10">
        <v>3</v>
      </c>
      <c r="G66" s="14">
        <f t="shared" si="2"/>
        <v>30</v>
      </c>
      <c r="H66" s="1"/>
    </row>
    <row r="67" spans="3:8" ht="15" thickBot="1">
      <c r="C67" s="97"/>
      <c r="D67" s="13"/>
      <c r="E67" s="10"/>
      <c r="F67" s="10"/>
      <c r="G67" s="27"/>
      <c r="H67" s="1"/>
    </row>
    <row r="68" spans="3:8" ht="15" thickBot="1">
      <c r="C68" s="98"/>
      <c r="D68" s="34"/>
      <c r="E68" s="35"/>
      <c r="F68" s="35"/>
      <c r="G68" s="36">
        <f>G61+G62+G64+G66</f>
        <v>2002.0399999999997</v>
      </c>
      <c r="H68" s="1"/>
    </row>
    <row r="69" spans="3:8">
      <c r="E69" s="1"/>
      <c r="F69" s="1"/>
      <c r="G69" s="2"/>
      <c r="H69" s="1"/>
    </row>
    <row r="70" spans="3:8">
      <c r="E70" s="1"/>
      <c r="F70" s="1"/>
      <c r="G70" s="2"/>
      <c r="H70" s="1"/>
    </row>
    <row r="71" spans="3:8" ht="15" thickBot="1">
      <c r="E71" s="3" t="s">
        <v>0</v>
      </c>
      <c r="F71" s="1"/>
      <c r="G71" s="4" t="s">
        <v>1</v>
      </c>
      <c r="H71" s="1"/>
    </row>
    <row r="72" spans="3:8" ht="15.75" customHeight="1" thickBot="1">
      <c r="C72" s="96" t="s">
        <v>53</v>
      </c>
      <c r="D72" s="5" t="s">
        <v>54</v>
      </c>
      <c r="E72" s="6"/>
      <c r="F72" s="6"/>
      <c r="G72" s="7"/>
      <c r="H72" s="1"/>
    </row>
    <row r="73" spans="3:8">
      <c r="C73" s="97"/>
      <c r="D73" s="8" t="s">
        <v>4</v>
      </c>
      <c r="E73" s="10">
        <v>50</v>
      </c>
      <c r="F73" s="10">
        <v>15</v>
      </c>
      <c r="G73" s="42">
        <f t="shared" ref="G73:G87" si="3">F73*E73</f>
        <v>750</v>
      </c>
      <c r="H73" s="1"/>
    </row>
    <row r="74" spans="3:8">
      <c r="C74" s="108"/>
      <c r="D74" s="43" t="s">
        <v>6</v>
      </c>
      <c r="E74" s="10">
        <v>90</v>
      </c>
      <c r="F74" s="10">
        <v>0.8</v>
      </c>
      <c r="G74" s="42">
        <f t="shared" si="3"/>
        <v>72</v>
      </c>
      <c r="H74" s="1"/>
    </row>
    <row r="75" spans="3:8">
      <c r="C75" s="97"/>
      <c r="D75" s="16" t="s">
        <v>55</v>
      </c>
      <c r="E75" s="10">
        <v>1</v>
      </c>
      <c r="F75" s="10">
        <v>60</v>
      </c>
      <c r="G75" s="42">
        <f t="shared" si="3"/>
        <v>60</v>
      </c>
      <c r="H75" s="1"/>
    </row>
    <row r="76" spans="3:8">
      <c r="C76" s="97"/>
      <c r="D76" s="44" t="s">
        <v>126</v>
      </c>
      <c r="E76" s="10">
        <v>0</v>
      </c>
      <c r="F76" s="10">
        <v>50</v>
      </c>
      <c r="G76" s="42">
        <f t="shared" si="3"/>
        <v>0</v>
      </c>
      <c r="H76" s="1"/>
    </row>
    <row r="77" spans="3:8">
      <c r="C77" s="97"/>
      <c r="D77" s="44" t="s">
        <v>56</v>
      </c>
      <c r="E77" s="10">
        <v>1</v>
      </c>
      <c r="F77" s="10">
        <v>30</v>
      </c>
      <c r="G77" s="42">
        <f t="shared" si="3"/>
        <v>30</v>
      </c>
      <c r="H77" s="1"/>
    </row>
    <row r="78" spans="3:8">
      <c r="C78" s="97"/>
      <c r="D78" s="44" t="s">
        <v>57</v>
      </c>
      <c r="E78" s="10">
        <v>1</v>
      </c>
      <c r="F78" s="10">
        <v>20</v>
      </c>
      <c r="G78" s="42">
        <f t="shared" si="3"/>
        <v>20</v>
      </c>
      <c r="H78" s="1"/>
    </row>
    <row r="79" spans="3:8">
      <c r="C79" s="97"/>
      <c r="D79" s="44" t="s">
        <v>58</v>
      </c>
      <c r="E79" s="10">
        <v>1</v>
      </c>
      <c r="F79" s="10">
        <v>25</v>
      </c>
      <c r="G79" s="42">
        <f t="shared" si="3"/>
        <v>25</v>
      </c>
      <c r="H79" s="1"/>
    </row>
    <row r="80" spans="3:8">
      <c r="C80" s="97"/>
      <c r="D80" s="44" t="s">
        <v>59</v>
      </c>
      <c r="E80" s="10">
        <v>1</v>
      </c>
      <c r="F80" s="10">
        <v>20</v>
      </c>
      <c r="G80" s="42">
        <f t="shared" si="3"/>
        <v>20</v>
      </c>
      <c r="H80" s="1"/>
    </row>
    <row r="81" spans="3:8">
      <c r="C81" s="97"/>
      <c r="D81" s="44"/>
      <c r="E81" s="10">
        <v>0</v>
      </c>
      <c r="F81" s="10">
        <v>200</v>
      </c>
      <c r="G81" s="11">
        <f t="shared" si="3"/>
        <v>0</v>
      </c>
      <c r="H81" s="45"/>
    </row>
    <row r="82" spans="3:8">
      <c r="C82" s="97"/>
      <c r="D82" s="44" t="s">
        <v>60</v>
      </c>
      <c r="E82" s="10">
        <v>1</v>
      </c>
      <c r="F82" s="10">
        <v>0.8</v>
      </c>
      <c r="G82" s="42">
        <f t="shared" si="3"/>
        <v>0.8</v>
      </c>
      <c r="H82" s="1"/>
    </row>
    <row r="83" spans="3:8">
      <c r="C83" s="97"/>
      <c r="D83" s="44" t="s">
        <v>61</v>
      </c>
      <c r="E83" s="10">
        <v>1</v>
      </c>
      <c r="F83" s="10">
        <v>30</v>
      </c>
      <c r="G83" s="42">
        <f t="shared" si="3"/>
        <v>30</v>
      </c>
      <c r="H83" s="1"/>
    </row>
    <row r="84" spans="3:8">
      <c r="C84" s="97"/>
      <c r="D84" s="44" t="s">
        <v>62</v>
      </c>
      <c r="E84" s="10">
        <v>1</v>
      </c>
      <c r="F84" s="10">
        <v>8</v>
      </c>
      <c r="G84" s="42">
        <f t="shared" si="3"/>
        <v>8</v>
      </c>
      <c r="H84" s="1"/>
    </row>
    <row r="85" spans="3:8">
      <c r="C85" s="97"/>
      <c r="D85" s="44" t="s">
        <v>63</v>
      </c>
      <c r="E85" s="10">
        <v>1</v>
      </c>
      <c r="F85" s="10">
        <v>5</v>
      </c>
      <c r="G85" s="42">
        <f t="shared" si="3"/>
        <v>5</v>
      </c>
      <c r="H85" s="1"/>
    </row>
    <row r="86" spans="3:8">
      <c r="C86" s="97"/>
      <c r="D86" s="44" t="s">
        <v>64</v>
      </c>
      <c r="E86" s="10">
        <v>1</v>
      </c>
      <c r="F86" s="10">
        <v>1</v>
      </c>
      <c r="G86" s="42">
        <f t="shared" si="3"/>
        <v>1</v>
      </c>
      <c r="H86" s="1"/>
    </row>
    <row r="87" spans="3:8" ht="15" thickBot="1">
      <c r="C87" s="97"/>
      <c r="D87" s="44" t="s">
        <v>65</v>
      </c>
      <c r="E87" s="10">
        <v>1</v>
      </c>
      <c r="F87" s="10">
        <v>10</v>
      </c>
      <c r="G87" s="42">
        <f t="shared" si="3"/>
        <v>10</v>
      </c>
      <c r="H87" s="1"/>
    </row>
    <row r="88" spans="3:8" ht="15" thickBot="1">
      <c r="C88" s="98"/>
      <c r="D88" s="34"/>
      <c r="E88" s="35"/>
      <c r="F88" s="35"/>
      <c r="G88" s="36">
        <f>SUM(G73:G87)</f>
        <v>1031.8</v>
      </c>
      <c r="H88" s="1"/>
    </row>
    <row r="89" spans="3:8">
      <c r="E89" s="1"/>
      <c r="F89" s="1"/>
      <c r="G89" s="2"/>
      <c r="H89" s="1"/>
    </row>
    <row r="90" spans="3:8" ht="15" thickBot="1">
      <c r="E90" s="3" t="s">
        <v>0</v>
      </c>
      <c r="F90" s="1"/>
      <c r="G90" s="4" t="s">
        <v>1</v>
      </c>
      <c r="H90" s="1"/>
    </row>
    <row r="91" spans="3:8" ht="15" customHeight="1">
      <c r="C91" s="96" t="s">
        <v>66</v>
      </c>
      <c r="D91" s="46" t="s">
        <v>67</v>
      </c>
      <c r="E91" s="6"/>
      <c r="F91" s="6"/>
      <c r="G91" s="47">
        <v>15</v>
      </c>
      <c r="H91" s="1"/>
    </row>
    <row r="92" spans="3:8">
      <c r="C92" s="97"/>
      <c r="D92" s="18" t="s">
        <v>68</v>
      </c>
      <c r="E92" s="10"/>
      <c r="F92" s="10"/>
      <c r="G92" s="48">
        <v>10</v>
      </c>
      <c r="H92" s="1"/>
    </row>
    <row r="93" spans="3:8">
      <c r="C93" s="97"/>
      <c r="D93" s="18" t="s">
        <v>69</v>
      </c>
      <c r="E93" s="10"/>
      <c r="F93" s="10"/>
      <c r="G93" s="48">
        <v>5</v>
      </c>
      <c r="H93" s="1"/>
    </row>
    <row r="94" spans="3:8">
      <c r="C94" s="97"/>
      <c r="D94" s="44" t="s">
        <v>122</v>
      </c>
      <c r="E94" s="10">
        <v>1</v>
      </c>
      <c r="F94" s="10">
        <v>200</v>
      </c>
      <c r="G94" s="95">
        <f t="shared" ref="G94" si="4">F94*E94</f>
        <v>200</v>
      </c>
      <c r="H94" s="1"/>
    </row>
    <row r="95" spans="3:8">
      <c r="C95" s="97"/>
      <c r="D95" s="18" t="s">
        <v>70</v>
      </c>
      <c r="E95" s="10"/>
      <c r="F95" s="10"/>
      <c r="G95" s="48">
        <v>30</v>
      </c>
      <c r="H95" s="1"/>
    </row>
    <row r="96" spans="3:8">
      <c r="C96" s="97"/>
      <c r="D96" s="18" t="s">
        <v>71</v>
      </c>
      <c r="E96" s="10"/>
      <c r="F96" s="10"/>
      <c r="G96" s="49">
        <v>180</v>
      </c>
      <c r="H96" s="1"/>
    </row>
    <row r="97" spans="3:9">
      <c r="C97" s="97"/>
      <c r="D97" s="18"/>
      <c r="E97" s="10"/>
      <c r="F97" s="10"/>
      <c r="G97" s="49">
        <v>0</v>
      </c>
      <c r="H97" s="1"/>
    </row>
    <row r="98" spans="3:9">
      <c r="C98" s="97"/>
      <c r="D98" s="18"/>
      <c r="E98" s="10"/>
      <c r="F98" s="10"/>
      <c r="G98" s="27"/>
      <c r="H98" s="1"/>
    </row>
    <row r="99" spans="3:9" ht="15" thickBot="1">
      <c r="C99" s="97"/>
      <c r="D99" s="18" t="s">
        <v>72</v>
      </c>
      <c r="E99" s="10"/>
      <c r="F99" s="10"/>
      <c r="G99" s="50">
        <v>15</v>
      </c>
      <c r="H99" s="1"/>
    </row>
    <row r="100" spans="3:9" ht="15" thickBot="1">
      <c r="C100" s="98"/>
      <c r="D100" s="34"/>
      <c r="E100" s="35"/>
      <c r="F100" s="35"/>
      <c r="G100" s="36">
        <f>SUM(G91:G99)</f>
        <v>455</v>
      </c>
      <c r="H100" s="1"/>
    </row>
    <row r="101" spans="3:9">
      <c r="E101" s="1"/>
      <c r="F101" s="1"/>
      <c r="G101" s="2"/>
      <c r="H101" s="1"/>
    </row>
    <row r="102" spans="3:9">
      <c r="E102" s="1"/>
      <c r="F102" s="1"/>
      <c r="G102" s="2"/>
      <c r="H102" s="1"/>
    </row>
    <row r="103" spans="3:9" ht="15" thickBot="1">
      <c r="E103" s="3" t="s">
        <v>0</v>
      </c>
      <c r="F103" s="1"/>
      <c r="G103" s="4" t="s">
        <v>1</v>
      </c>
      <c r="H103" s="1"/>
    </row>
    <row r="104" spans="3:9" ht="15" customHeight="1">
      <c r="C104" s="96" t="s">
        <v>73</v>
      </c>
      <c r="D104" s="51" t="s">
        <v>74</v>
      </c>
      <c r="E104" s="6">
        <v>1</v>
      </c>
      <c r="F104" s="6">
        <v>150</v>
      </c>
      <c r="G104" s="52">
        <f t="shared" ref="G104:G109" si="5">E104*F104</f>
        <v>150</v>
      </c>
      <c r="H104" s="45"/>
      <c r="I104" t="s">
        <v>75</v>
      </c>
    </row>
    <row r="105" spans="3:9">
      <c r="C105" s="97"/>
      <c r="D105" s="53" t="s">
        <v>76</v>
      </c>
      <c r="E105" s="10">
        <v>6</v>
      </c>
      <c r="F105" s="10">
        <v>10</v>
      </c>
      <c r="G105" s="54">
        <f t="shared" si="5"/>
        <v>60</v>
      </c>
      <c r="H105" s="1"/>
    </row>
    <row r="106" spans="3:9">
      <c r="C106" s="97"/>
      <c r="D106" s="13" t="s">
        <v>77</v>
      </c>
      <c r="E106" s="10">
        <v>0</v>
      </c>
      <c r="F106" s="10">
        <v>15</v>
      </c>
      <c r="G106" s="49">
        <f t="shared" si="5"/>
        <v>0</v>
      </c>
      <c r="H106" s="1"/>
    </row>
    <row r="107" spans="3:9">
      <c r="C107" s="97"/>
      <c r="D107" s="13" t="s">
        <v>78</v>
      </c>
      <c r="E107" s="10">
        <v>0</v>
      </c>
      <c r="F107" s="10">
        <v>15</v>
      </c>
      <c r="G107" s="49">
        <f t="shared" si="5"/>
        <v>0</v>
      </c>
      <c r="H107" s="1"/>
    </row>
    <row r="108" spans="3:9">
      <c r="C108" s="97"/>
      <c r="D108" s="13" t="s">
        <v>79</v>
      </c>
      <c r="E108" s="10">
        <v>1</v>
      </c>
      <c r="F108" s="10">
        <v>20</v>
      </c>
      <c r="G108" s="55">
        <f t="shared" si="5"/>
        <v>20</v>
      </c>
      <c r="H108" s="1"/>
    </row>
    <row r="109" spans="3:9" ht="15" thickBot="1">
      <c r="C109" s="97"/>
      <c r="D109" s="16" t="s">
        <v>80</v>
      </c>
      <c r="E109" s="10">
        <v>0</v>
      </c>
      <c r="F109" s="10">
        <v>50</v>
      </c>
      <c r="G109" s="54">
        <f t="shared" si="5"/>
        <v>0</v>
      </c>
      <c r="H109" s="1"/>
    </row>
    <row r="110" spans="3:9" ht="15" thickBot="1">
      <c r="C110" s="98"/>
      <c r="D110" s="34"/>
      <c r="E110" s="35"/>
      <c r="F110" s="35"/>
      <c r="G110" s="36">
        <f>SUM(G104:G109)</f>
        <v>230</v>
      </c>
      <c r="H110" s="1"/>
    </row>
    <row r="111" spans="3:9">
      <c r="E111" s="1"/>
      <c r="F111" s="1"/>
      <c r="G111" s="2"/>
      <c r="H111" s="1"/>
    </row>
    <row r="112" spans="3:9">
      <c r="E112" s="1"/>
      <c r="F112" s="1"/>
      <c r="G112" s="2"/>
      <c r="H112" s="1"/>
    </row>
    <row r="113" spans="4:8">
      <c r="E113" s="1"/>
      <c r="F113" s="1"/>
      <c r="G113" s="2"/>
      <c r="H113" s="1"/>
    </row>
    <row r="114" spans="4:8">
      <c r="E114" s="1"/>
      <c r="F114" s="1"/>
      <c r="G114" s="2"/>
      <c r="H114" s="1"/>
    </row>
    <row r="115" spans="4:8">
      <c r="E115" s="1"/>
      <c r="F115" s="1"/>
      <c r="G115" s="2"/>
      <c r="H115" s="1"/>
    </row>
    <row r="116" spans="4:8" ht="15" thickBot="1">
      <c r="E116" s="1"/>
      <c r="F116" s="1"/>
      <c r="G116" s="2"/>
      <c r="H116" s="1"/>
    </row>
    <row r="117" spans="4:8" ht="15" thickBot="1">
      <c r="D117" s="5" t="s">
        <v>81</v>
      </c>
      <c r="E117" s="1"/>
      <c r="F117" s="1"/>
      <c r="G117" s="36">
        <f>G110+G100+G88+G68+G48+G35</f>
        <v>9860.68</v>
      </c>
      <c r="H117" s="1"/>
    </row>
    <row r="118" spans="4:8" ht="15" thickBot="1">
      <c r="D118" t="s">
        <v>123</v>
      </c>
      <c r="E118" s="1"/>
      <c r="F118" s="1"/>
      <c r="G118" s="2">
        <v>1000</v>
      </c>
      <c r="H118" s="1"/>
    </row>
    <row r="119" spans="4:8" ht="15" thickBot="1">
      <c r="D119" s="5" t="s">
        <v>124</v>
      </c>
      <c r="E119" s="1"/>
      <c r="F119" s="1"/>
      <c r="G119" s="36">
        <f>2100+200</f>
        <v>2300</v>
      </c>
      <c r="H119" s="1"/>
    </row>
    <row r="120" spans="4:8" ht="15" thickBot="1">
      <c r="D120" t="s">
        <v>83</v>
      </c>
      <c r="E120" s="1"/>
      <c r="F120" s="1"/>
      <c r="G120" s="2">
        <v>250</v>
      </c>
      <c r="H120" s="1"/>
    </row>
    <row r="121" spans="4:8" ht="15" thickBot="1">
      <c r="D121" s="5" t="s">
        <v>84</v>
      </c>
      <c r="E121" s="1"/>
      <c r="F121" s="1"/>
      <c r="G121" s="36">
        <f>0.1*(G117+G119+G118+G120)</f>
        <v>1341.0680000000002</v>
      </c>
      <c r="H121" s="1"/>
    </row>
    <row r="122" spans="4:8" ht="15" thickBot="1">
      <c r="E122" s="1"/>
      <c r="F122" s="1"/>
      <c r="G122" s="2"/>
      <c r="H122" s="1"/>
    </row>
    <row r="123" spans="4:8" ht="15" thickBot="1">
      <c r="D123" s="5" t="s">
        <v>85</v>
      </c>
      <c r="E123" s="1"/>
      <c r="F123" s="1"/>
      <c r="G123" s="36">
        <f>G117+G119+G121+G120+G118</f>
        <v>14751.748</v>
      </c>
      <c r="H123" s="1"/>
    </row>
    <row r="124" spans="4:8">
      <c r="E124" s="1"/>
      <c r="F124" s="1"/>
      <c r="G124" s="2"/>
      <c r="H124" s="1"/>
    </row>
    <row r="125" spans="4:8" ht="15" thickBot="1">
      <c r="E125" s="1"/>
      <c r="F125" s="1"/>
      <c r="G125" s="2"/>
      <c r="H125" s="1"/>
    </row>
    <row r="126" spans="4:8" ht="15" thickBot="1">
      <c r="D126" s="5" t="s">
        <v>86</v>
      </c>
      <c r="E126" s="36">
        <f>G117</f>
        <v>9860.68</v>
      </c>
      <c r="F126" s="1"/>
      <c r="G126" s="2"/>
      <c r="H126" s="1"/>
    </row>
    <row r="127" spans="4:8" ht="15" thickBot="1">
      <c r="D127" s="5" t="s">
        <v>96</v>
      </c>
      <c r="E127" s="36">
        <v>1000</v>
      </c>
      <c r="F127" s="1"/>
      <c r="G127" s="2"/>
      <c r="H127" s="1"/>
    </row>
    <row r="128" spans="4:8" ht="15" thickBot="1">
      <c r="D128" s="5" t="s">
        <v>87</v>
      </c>
      <c r="E128" s="36">
        <f>G119</f>
        <v>2300</v>
      </c>
      <c r="F128" s="56">
        <f>E128/G123</f>
        <v>0.15591372629196215</v>
      </c>
      <c r="G128" s="2"/>
      <c r="H128" s="1"/>
    </row>
    <row r="129" spans="4:8" ht="15" thickBot="1">
      <c r="D129" s="5" t="s">
        <v>119</v>
      </c>
      <c r="E129" s="36">
        <v>250</v>
      </c>
      <c r="F129" s="56"/>
      <c r="G129" s="2"/>
      <c r="H129" s="1"/>
    </row>
    <row r="130" spans="4:8" ht="15" thickBot="1">
      <c r="D130" s="5" t="s">
        <v>88</v>
      </c>
      <c r="E130" s="36">
        <f>G121</f>
        <v>1341.0680000000002</v>
      </c>
      <c r="F130" s="1"/>
      <c r="G130" s="2"/>
      <c r="H130" s="1"/>
    </row>
    <row r="131" spans="4:8">
      <c r="E131" s="1"/>
      <c r="F131" s="1"/>
      <c r="G131" s="2"/>
      <c r="H131" s="1"/>
    </row>
    <row r="132" spans="4:8">
      <c r="E132" s="62">
        <f>SUM(E126:E130)</f>
        <v>14751.748</v>
      </c>
      <c r="F132" s="1"/>
      <c r="G132" s="2"/>
      <c r="H132" s="1"/>
    </row>
    <row r="133" spans="4:8">
      <c r="E133" s="1"/>
      <c r="F133" s="1"/>
      <c r="G133" s="2"/>
      <c r="H133" s="1"/>
    </row>
    <row r="134" spans="4:8">
      <c r="E134" s="1"/>
      <c r="F134" s="1"/>
      <c r="G134" s="2"/>
      <c r="H134" s="1"/>
    </row>
    <row r="135" spans="4:8">
      <c r="E135" s="1"/>
      <c r="F135" s="1"/>
      <c r="G135" s="2"/>
      <c r="H135" s="1"/>
    </row>
    <row r="136" spans="4:8">
      <c r="E136" s="1"/>
      <c r="F136" s="1"/>
      <c r="G136" s="2"/>
      <c r="H136" s="1"/>
    </row>
    <row r="137" spans="4:8">
      <c r="E137" s="1"/>
      <c r="F137" s="1"/>
      <c r="G137" s="2"/>
      <c r="H137" s="1"/>
    </row>
    <row r="138" spans="4:8" ht="15" thickBot="1">
      <c r="E138" s="1"/>
      <c r="F138" s="1"/>
      <c r="G138" s="2"/>
      <c r="H138" s="1"/>
    </row>
    <row r="139" spans="4:8" ht="15" thickBot="1">
      <c r="D139" s="57" t="s">
        <v>89</v>
      </c>
      <c r="E139" s="36">
        <f>G35</f>
        <v>5716.84</v>
      </c>
      <c r="F139" s="1"/>
      <c r="G139" s="2"/>
      <c r="H139" s="1"/>
    </row>
    <row r="140" spans="4:8" ht="15" thickBot="1">
      <c r="D140" s="58" t="s">
        <v>90</v>
      </c>
      <c r="E140" s="36">
        <f>G48</f>
        <v>425</v>
      </c>
      <c r="F140" s="1"/>
      <c r="G140" s="2"/>
      <c r="H140" s="1"/>
    </row>
    <row r="141" spans="4:8" ht="15" thickBot="1">
      <c r="D141" s="59" t="s">
        <v>91</v>
      </c>
      <c r="E141" s="36">
        <f>G68</f>
        <v>2002.0399999999997</v>
      </c>
      <c r="F141" s="1"/>
      <c r="G141" s="2"/>
      <c r="H141" s="1"/>
    </row>
    <row r="142" spans="4:8" ht="15" thickBot="1">
      <c r="D142" s="60" t="s">
        <v>92</v>
      </c>
      <c r="E142" s="36">
        <f>G88</f>
        <v>1031.8</v>
      </c>
      <c r="F142" s="1"/>
      <c r="G142" s="2"/>
      <c r="H142" s="1"/>
    </row>
    <row r="143" spans="4:8" ht="15" thickBot="1">
      <c r="D143" s="61" t="s">
        <v>93</v>
      </c>
      <c r="E143" s="36">
        <f>G100</f>
        <v>455</v>
      </c>
      <c r="F143" s="1"/>
      <c r="G143" s="2"/>
      <c r="H143" s="1"/>
    </row>
    <row r="144" spans="4:8" ht="15" thickBot="1">
      <c r="D144" s="5" t="s">
        <v>94</v>
      </c>
      <c r="E144" s="36">
        <f>G110</f>
        <v>230</v>
      </c>
      <c r="F144" s="1"/>
      <c r="G144" s="2"/>
      <c r="H144" s="1"/>
    </row>
    <row r="145" spans="5:8">
      <c r="E145" s="1"/>
      <c r="F145" s="1"/>
      <c r="G145" s="2"/>
      <c r="H145" s="1"/>
    </row>
    <row r="146" spans="5:8">
      <c r="E146" s="62">
        <f>SUM(E139:E145)</f>
        <v>9860.68</v>
      </c>
      <c r="F146" s="1"/>
      <c r="G146" s="2"/>
      <c r="H146" s="1"/>
    </row>
  </sheetData>
  <mergeCells count="7">
    <mergeCell ref="C104:C110"/>
    <mergeCell ref="C5:C35"/>
    <mergeCell ref="H27:I31"/>
    <mergeCell ref="C38:C48"/>
    <mergeCell ref="C51:C68"/>
    <mergeCell ref="C72:C88"/>
    <mergeCell ref="C91:C100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N24"/>
  <sheetViews>
    <sheetView workbookViewId="0">
      <selection activeCell="K17" sqref="K17"/>
    </sheetView>
  </sheetViews>
  <sheetFormatPr baseColWidth="10" defaultColWidth="8.83203125" defaultRowHeight="14" x14ac:dyDescent="0"/>
  <cols>
    <col min="3" max="10" width="15.6640625" customWidth="1"/>
  </cols>
  <sheetData>
    <row r="3" spans="3:11" ht="15" thickBot="1"/>
    <row r="4" spans="3:11" ht="37" thickBot="1">
      <c r="C4" s="63"/>
      <c r="D4" s="64" t="s">
        <v>97</v>
      </c>
      <c r="E4" s="64" t="s">
        <v>98</v>
      </c>
      <c r="F4" s="64" t="s">
        <v>99</v>
      </c>
      <c r="G4" s="64" t="s">
        <v>100</v>
      </c>
      <c r="H4" s="64" t="s">
        <v>101</v>
      </c>
      <c r="I4" s="65" t="s">
        <v>102</v>
      </c>
      <c r="J4" s="66" t="s">
        <v>103</v>
      </c>
    </row>
    <row r="5" spans="3:11" ht="15" thickBot="1">
      <c r="C5" s="64" t="s">
        <v>104</v>
      </c>
      <c r="D5" s="81">
        <v>5</v>
      </c>
      <c r="E5" s="81">
        <f>$K5*0.05</f>
        <v>79.300000000000011</v>
      </c>
      <c r="F5" s="81">
        <f>$K5*0.1</f>
        <v>158.60000000000002</v>
      </c>
      <c r="G5" s="81">
        <f>$K5*0.95</f>
        <v>1506.6999999999998</v>
      </c>
      <c r="H5" s="81">
        <f t="shared" ref="H5:H6" si="0">K5*0.25</f>
        <v>396.5</v>
      </c>
      <c r="I5" s="84">
        <v>35</v>
      </c>
      <c r="J5" s="81">
        <f>SUM(D5:I5)</f>
        <v>2181.1</v>
      </c>
      <c r="K5" s="75">
        <f>'OPTION 2'!G8+'OPTION 2'!G11+'OPTION 2'!G64+'OPTION 2'!G66</f>
        <v>1586</v>
      </c>
    </row>
    <row r="6" spans="3:11" ht="15" thickBot="1">
      <c r="C6" s="64" t="s">
        <v>105</v>
      </c>
      <c r="D6" s="81">
        <v>4</v>
      </c>
      <c r="E6" s="81">
        <f t="shared" ref="E6:E15" si="1">$K6*0.05</f>
        <v>127.87</v>
      </c>
      <c r="F6" s="81">
        <f t="shared" ref="F6:F12" si="2">$K6*0.1</f>
        <v>255.74</v>
      </c>
      <c r="G6" s="81">
        <f t="shared" ref="G6:G15" si="3">$K6*0.95</f>
        <v>2429.5300000000002</v>
      </c>
      <c r="H6" s="81">
        <f t="shared" si="0"/>
        <v>639.35</v>
      </c>
      <c r="I6" s="84">
        <v>55</v>
      </c>
      <c r="J6" s="81">
        <f t="shared" ref="J6:J15" si="4">SUM(D6:I6)</f>
        <v>3511.4900000000002</v>
      </c>
      <c r="K6" s="75">
        <f>'OPTION 2'!G31</f>
        <v>2557.4</v>
      </c>
    </row>
    <row r="7" spans="3:11" ht="15" thickBot="1">
      <c r="C7" s="64" t="s">
        <v>106</v>
      </c>
      <c r="D7" s="81">
        <v>4</v>
      </c>
      <c r="E7" s="81">
        <v>65</v>
      </c>
      <c r="F7" s="81">
        <v>100</v>
      </c>
      <c r="G7" s="81">
        <f>$K7*0.94</f>
        <v>1403.8335999999999</v>
      </c>
      <c r="H7" s="81">
        <v>353</v>
      </c>
      <c r="I7" s="84">
        <v>55</v>
      </c>
      <c r="J7" s="81">
        <f t="shared" si="4"/>
        <v>1980.8335999999999</v>
      </c>
      <c r="K7" s="75">
        <f>'OPTION 2'!G23-'OPTION 2'!G22</f>
        <v>1493.44</v>
      </c>
    </row>
    <row r="8" spans="3:11" ht="25" thickBot="1">
      <c r="C8" s="64" t="s">
        <v>107</v>
      </c>
      <c r="D8" s="81">
        <v>4</v>
      </c>
      <c r="E8" s="81">
        <f t="shared" si="1"/>
        <v>19.25</v>
      </c>
      <c r="F8" s="81">
        <v>30</v>
      </c>
      <c r="G8" s="81">
        <v>295</v>
      </c>
      <c r="H8" s="81">
        <v>50</v>
      </c>
      <c r="I8" s="84">
        <v>20</v>
      </c>
      <c r="J8" s="81">
        <f t="shared" si="4"/>
        <v>418.25</v>
      </c>
      <c r="K8" s="75">
        <f>'OPTION 2'!G48-'OPTION 2'!G38</f>
        <v>385</v>
      </c>
    </row>
    <row r="9" spans="3:11" ht="25" thickBot="1">
      <c r="C9" s="64" t="s">
        <v>108</v>
      </c>
      <c r="D9" s="81">
        <v>4</v>
      </c>
      <c r="E9" s="81">
        <v>50</v>
      </c>
      <c r="F9" s="81">
        <v>75</v>
      </c>
      <c r="G9" s="81">
        <f t="shared" si="3"/>
        <v>1854.4379999999996</v>
      </c>
      <c r="H9" s="81">
        <f>K9*0.2</f>
        <v>390.40799999999996</v>
      </c>
      <c r="I9" s="84">
        <v>65</v>
      </c>
      <c r="J9" s="81">
        <f t="shared" si="4"/>
        <v>2438.8459999999995</v>
      </c>
      <c r="K9" s="75">
        <f>'OPTION 2'!G32+'OPTION 2'!G61+'OPTION 2'!G62</f>
        <v>1952.0399999999997</v>
      </c>
    </row>
    <row r="10" spans="3:11" ht="25" thickBot="1">
      <c r="C10" s="64" t="s">
        <v>109</v>
      </c>
      <c r="D10" s="81">
        <v>4</v>
      </c>
      <c r="E10" s="81">
        <f t="shared" si="1"/>
        <v>9.75</v>
      </c>
      <c r="F10" s="81">
        <v>50</v>
      </c>
      <c r="G10" s="81">
        <f t="shared" si="3"/>
        <v>185.25</v>
      </c>
      <c r="H10" s="81">
        <v>35</v>
      </c>
      <c r="I10" s="84">
        <v>35</v>
      </c>
      <c r="J10" s="81">
        <f t="shared" si="4"/>
        <v>319</v>
      </c>
      <c r="K10">
        <f>'OPTION 2'!G96+'OPTION 2'!G97+'OPTION 2'!G99+'OPTION 2'!G106+'OPTION 2'!G107</f>
        <v>195</v>
      </c>
    </row>
    <row r="11" spans="3:11" ht="25" thickBot="1">
      <c r="C11" s="64" t="s">
        <v>110</v>
      </c>
      <c r="D11" s="81">
        <v>4</v>
      </c>
      <c r="E11" s="81">
        <v>10</v>
      </c>
      <c r="F11" s="81">
        <v>50</v>
      </c>
      <c r="G11" s="81">
        <f t="shared" si="3"/>
        <v>123.5</v>
      </c>
      <c r="H11" s="81">
        <f t="shared" ref="H11:H12" si="5">K11*0.2</f>
        <v>26</v>
      </c>
      <c r="I11" s="84">
        <v>25</v>
      </c>
      <c r="J11" s="81">
        <f t="shared" si="4"/>
        <v>238.5</v>
      </c>
      <c r="K11" s="75">
        <f>'OPTION 2'!G33+'OPTION 2'!G105+'OPTION 2'!G109+'OPTION 2'!G38</f>
        <v>130</v>
      </c>
    </row>
    <row r="12" spans="3:11" ht="25" thickBot="1">
      <c r="C12" s="64" t="s">
        <v>111</v>
      </c>
      <c r="D12" s="81">
        <v>4</v>
      </c>
      <c r="E12" s="81">
        <f t="shared" si="1"/>
        <v>0</v>
      </c>
      <c r="F12" s="81">
        <f t="shared" si="2"/>
        <v>0</v>
      </c>
      <c r="G12" s="81">
        <f t="shared" si="3"/>
        <v>0</v>
      </c>
      <c r="H12" s="81">
        <f t="shared" si="5"/>
        <v>0</v>
      </c>
      <c r="I12" s="84"/>
      <c r="J12" s="81">
        <f t="shared" si="4"/>
        <v>4</v>
      </c>
    </row>
    <row r="13" spans="3:11" ht="25" thickBot="1">
      <c r="C13" s="64" t="s">
        <v>112</v>
      </c>
      <c r="D13" s="81">
        <v>4</v>
      </c>
      <c r="E13" s="81">
        <f>$K13*0.1</f>
        <v>129.18</v>
      </c>
      <c r="F13" s="81">
        <v>150</v>
      </c>
      <c r="G13" s="81">
        <f t="shared" si="3"/>
        <v>1227.2099999999998</v>
      </c>
      <c r="H13" s="81">
        <f>K13*0.25</f>
        <v>322.95</v>
      </c>
      <c r="I13" s="84">
        <v>25</v>
      </c>
      <c r="J13" s="81">
        <f t="shared" si="4"/>
        <v>1858.34</v>
      </c>
      <c r="K13" s="75">
        <f>'OPTION 2'!G88+'OPTION 2'!G91+'OPTION 2'!G92+'OPTION 2'!G93+'OPTION 2'!G95+'OPTION 2'!G94</f>
        <v>1291.8</v>
      </c>
    </row>
    <row r="14" spans="3:11" ht="15" thickBot="1">
      <c r="C14" s="64" t="s">
        <v>113</v>
      </c>
      <c r="D14" s="81">
        <v>4</v>
      </c>
      <c r="E14" s="81">
        <f t="shared" si="1"/>
        <v>5</v>
      </c>
      <c r="F14" s="81">
        <v>15</v>
      </c>
      <c r="G14" s="81">
        <f t="shared" si="3"/>
        <v>95</v>
      </c>
      <c r="H14" s="81">
        <f>K14*0.25</f>
        <v>25</v>
      </c>
      <c r="I14" s="84">
        <v>20</v>
      </c>
      <c r="J14" s="81">
        <f t="shared" si="4"/>
        <v>164</v>
      </c>
      <c r="K14" s="75">
        <f>'OPTION 2'!G22+'OPTION 2'!G34</f>
        <v>100</v>
      </c>
    </row>
    <row r="15" spans="3:11" ht="15" thickBot="1">
      <c r="C15" s="64" t="s">
        <v>114</v>
      </c>
      <c r="D15" s="81">
        <v>4</v>
      </c>
      <c r="E15" s="81">
        <f t="shared" si="1"/>
        <v>8.5</v>
      </c>
      <c r="F15" s="81">
        <v>50</v>
      </c>
      <c r="G15" s="81">
        <f t="shared" si="3"/>
        <v>161.5</v>
      </c>
      <c r="H15" s="81">
        <f>K15*0.25</f>
        <v>42.5</v>
      </c>
      <c r="I15" s="84">
        <v>30</v>
      </c>
      <c r="J15" s="81">
        <f t="shared" si="4"/>
        <v>296.5</v>
      </c>
      <c r="K15">
        <f>'OPTION 2'!G104+'OPTION 2'!G108</f>
        <v>170</v>
      </c>
    </row>
    <row r="16" spans="3:11" ht="15" thickBot="1">
      <c r="C16" s="64" t="s">
        <v>115</v>
      </c>
      <c r="D16" s="81">
        <f t="shared" ref="D16:I16" si="6">SUM(D5:D15)*0.1</f>
        <v>4.5</v>
      </c>
      <c r="E16" s="81">
        <f t="shared" si="6"/>
        <v>50.385000000000005</v>
      </c>
      <c r="F16" s="81">
        <f t="shared" si="6"/>
        <v>93.434000000000012</v>
      </c>
      <c r="G16" s="81">
        <f t="shared" si="6"/>
        <v>928.19615999999996</v>
      </c>
      <c r="H16" s="81">
        <f t="shared" si="6"/>
        <v>228.07079999999996</v>
      </c>
      <c r="I16" s="81">
        <f t="shared" si="6"/>
        <v>36.5</v>
      </c>
      <c r="J16" s="85">
        <f>SUM(J5:J15)*0.1</f>
        <v>1341.0859600000001</v>
      </c>
    </row>
    <row r="17" spans="3:14" ht="16" thickTop="1" thickBot="1">
      <c r="C17" s="67" t="s">
        <v>116</v>
      </c>
      <c r="D17" s="86">
        <f t="shared" ref="D17:H17" si="7">SUM(D5:D16)</f>
        <v>49.5</v>
      </c>
      <c r="E17" s="86">
        <f t="shared" si="7"/>
        <v>554.23500000000001</v>
      </c>
      <c r="F17" s="86">
        <f t="shared" si="7"/>
        <v>1027.7740000000001</v>
      </c>
      <c r="G17" s="86">
        <f t="shared" si="7"/>
        <v>10210.157759999998</v>
      </c>
      <c r="H17" s="86">
        <f t="shared" si="7"/>
        <v>2508.7787999999996</v>
      </c>
      <c r="I17" s="86">
        <f>SUM(I5:I16)</f>
        <v>401.5</v>
      </c>
      <c r="J17" s="87">
        <f>SUM(J5:J16)</f>
        <v>14751.94556</v>
      </c>
      <c r="K17" s="75">
        <f>SUM(K5:K15)</f>
        <v>9860.68</v>
      </c>
      <c r="L17" s="75">
        <f>'OPTION 2'!G117</f>
        <v>9860.68</v>
      </c>
      <c r="M17" s="83"/>
      <c r="N17" s="75"/>
    </row>
    <row r="18" spans="3:14" ht="15" thickBot="1">
      <c r="C18" s="68"/>
      <c r="D18" s="89"/>
      <c r="E18" s="89"/>
      <c r="F18" s="89"/>
      <c r="G18" s="89"/>
      <c r="H18" s="89"/>
      <c r="I18" s="90"/>
      <c r="J18" s="91"/>
    </row>
    <row r="19" spans="3:14" ht="26" thickTop="1" thickBot="1">
      <c r="C19" s="64" t="s">
        <v>117</v>
      </c>
      <c r="D19" s="69">
        <v>1</v>
      </c>
      <c r="E19" s="69">
        <v>4</v>
      </c>
      <c r="F19" s="69">
        <v>10</v>
      </c>
      <c r="G19" s="69">
        <v>7</v>
      </c>
      <c r="H19" s="69">
        <v>10</v>
      </c>
      <c r="I19" s="70">
        <v>3</v>
      </c>
      <c r="J19" s="71">
        <f>SUM(D19:I19)</f>
        <v>35</v>
      </c>
    </row>
    <row r="20" spans="3:14" ht="25" thickBot="1">
      <c r="C20" s="68" t="s">
        <v>121</v>
      </c>
      <c r="D20" s="92">
        <f>D17</f>
        <v>49.5</v>
      </c>
      <c r="E20" s="92">
        <v>500</v>
      </c>
      <c r="F20" s="92">
        <v>1000</v>
      </c>
      <c r="G20" s="92">
        <v>750</v>
      </c>
      <c r="H20" s="92">
        <v>860</v>
      </c>
      <c r="I20" s="93">
        <v>390</v>
      </c>
      <c r="J20" s="94">
        <f>SUM(D20:I20)</f>
        <v>3549.5</v>
      </c>
    </row>
    <row r="21" spans="3:14" ht="15" thickTop="1"/>
    <row r="22" spans="3:14" ht="15" thickBot="1">
      <c r="D22">
        <f t="shared" ref="D22:J22" si="8">D20/62.5</f>
        <v>0.79200000000000004</v>
      </c>
      <c r="E22">
        <f t="shared" si="8"/>
        <v>8</v>
      </c>
      <c r="F22">
        <f t="shared" si="8"/>
        <v>16</v>
      </c>
      <c r="G22">
        <f t="shared" si="8"/>
        <v>12</v>
      </c>
      <c r="H22">
        <f t="shared" si="8"/>
        <v>13.76</v>
      </c>
      <c r="I22">
        <f t="shared" si="8"/>
        <v>6.24</v>
      </c>
      <c r="J22">
        <f t="shared" si="8"/>
        <v>56.792000000000002</v>
      </c>
    </row>
    <row r="23" spans="3:14" ht="37" thickBot="1">
      <c r="D23" s="72" t="s">
        <v>97</v>
      </c>
      <c r="E23" s="64" t="s">
        <v>98</v>
      </c>
      <c r="F23" s="64" t="s">
        <v>99</v>
      </c>
      <c r="G23" s="64" t="s">
        <v>100</v>
      </c>
      <c r="H23" s="64" t="s">
        <v>101</v>
      </c>
      <c r="I23" s="65" t="s">
        <v>102</v>
      </c>
      <c r="J23" s="66" t="s">
        <v>103</v>
      </c>
    </row>
    <row r="24" spans="3:14" ht="15" thickBot="1">
      <c r="C24" s="73" t="s">
        <v>118</v>
      </c>
      <c r="D24" s="74">
        <f>D17/$J$17</f>
        <v>3.3554896063485743E-3</v>
      </c>
      <c r="E24" s="74">
        <f t="shared" ref="E24:J24" si="9">E17/$J$17</f>
        <v>3.7570298625749537E-2</v>
      </c>
      <c r="F24" s="74">
        <f t="shared" si="9"/>
        <v>6.9670403528793945E-2</v>
      </c>
      <c r="G24" s="74">
        <f t="shared" si="9"/>
        <v>0.69212279278503508</v>
      </c>
      <c r="H24" s="74">
        <f t="shared" si="9"/>
        <v>0.17006426642480096</v>
      </c>
      <c r="I24" s="74">
        <f t="shared" si="9"/>
        <v>2.7216749029271771E-2</v>
      </c>
      <c r="J24" s="74">
        <f t="shared" si="9"/>
        <v>1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I146"/>
  <sheetViews>
    <sheetView topLeftCell="A91" workbookViewId="0">
      <selection activeCell="I20" sqref="I20"/>
    </sheetView>
  </sheetViews>
  <sheetFormatPr baseColWidth="10" defaultColWidth="8.83203125" defaultRowHeight="14" x14ac:dyDescent="0"/>
  <cols>
    <col min="4" max="4" width="49.33203125" bestFit="1" customWidth="1"/>
    <col min="9" max="9" width="35.6640625" bestFit="1" customWidth="1"/>
  </cols>
  <sheetData>
    <row r="3" spans="3:8">
      <c r="E3" s="1"/>
      <c r="F3" s="1"/>
      <c r="G3" s="2"/>
      <c r="H3" s="1"/>
    </row>
    <row r="4" spans="3:8" ht="15" thickBot="1">
      <c r="E4" s="3" t="s">
        <v>0</v>
      </c>
      <c r="F4" s="1"/>
      <c r="G4" s="4" t="s">
        <v>1</v>
      </c>
      <c r="H4" s="1"/>
    </row>
    <row r="5" spans="3:8" ht="15" thickBot="1">
      <c r="C5" s="99" t="s">
        <v>2</v>
      </c>
      <c r="D5" s="5" t="s">
        <v>3</v>
      </c>
      <c r="E5" s="6"/>
      <c r="F5" s="6"/>
      <c r="G5" s="7"/>
      <c r="H5" s="1"/>
    </row>
    <row r="6" spans="3:8">
      <c r="C6" s="100"/>
      <c r="D6" s="8" t="s">
        <v>4</v>
      </c>
      <c r="E6" s="9">
        <v>70</v>
      </c>
      <c r="F6" s="10" t="s">
        <v>5</v>
      </c>
      <c r="G6" s="11">
        <f>15*E6</f>
        <v>1050</v>
      </c>
      <c r="H6" s="1"/>
    </row>
    <row r="7" spans="3:8" ht="15" thickBot="1">
      <c r="C7" s="100"/>
      <c r="D7" s="12" t="s">
        <v>6</v>
      </c>
      <c r="E7" s="9">
        <v>120</v>
      </c>
      <c r="F7" s="10" t="s">
        <v>5</v>
      </c>
      <c r="G7" s="11">
        <f>0.8*E7</f>
        <v>96</v>
      </c>
      <c r="H7" s="1"/>
    </row>
    <row r="8" spans="3:8" ht="15" thickBot="1">
      <c r="C8" s="100"/>
      <c r="D8" s="13"/>
      <c r="E8" s="10"/>
      <c r="F8" s="10"/>
      <c r="G8" s="14">
        <f>SUM(G6:G7)</f>
        <v>1146</v>
      </c>
      <c r="H8" s="1"/>
    </row>
    <row r="9" spans="3:8" ht="15" thickBot="1">
      <c r="C9" s="100"/>
      <c r="D9" s="13"/>
      <c r="E9" s="10"/>
      <c r="F9" s="10"/>
      <c r="G9" s="11"/>
      <c r="H9" s="1"/>
    </row>
    <row r="10" spans="3:8" ht="15" thickBot="1">
      <c r="C10" s="100"/>
      <c r="D10" s="5" t="s">
        <v>7</v>
      </c>
      <c r="E10" s="10"/>
      <c r="F10" s="10"/>
      <c r="G10" s="15"/>
      <c r="H10" s="1"/>
    </row>
    <row r="11" spans="3:8" ht="15" thickBot="1">
      <c r="C11" s="100"/>
      <c r="D11" s="16" t="s">
        <v>8</v>
      </c>
      <c r="E11" s="10"/>
      <c r="F11" s="10"/>
      <c r="G11" s="17">
        <v>350</v>
      </c>
      <c r="H11" s="1"/>
    </row>
    <row r="12" spans="3:8" ht="15" thickBot="1">
      <c r="C12" s="100"/>
      <c r="D12" s="5" t="s">
        <v>9</v>
      </c>
      <c r="E12" s="10"/>
      <c r="F12" s="10"/>
      <c r="G12" s="11"/>
      <c r="H12" s="1" t="s">
        <v>10</v>
      </c>
    </row>
    <row r="13" spans="3:8">
      <c r="C13" s="100"/>
      <c r="D13" s="18" t="s">
        <v>11</v>
      </c>
      <c r="E13" s="88">
        <v>3</v>
      </c>
      <c r="F13" s="20">
        <v>198</v>
      </c>
      <c r="G13" s="21">
        <f>E13*F13</f>
        <v>594</v>
      </c>
      <c r="H13" s="1"/>
    </row>
    <row r="14" spans="3:8">
      <c r="C14" s="100"/>
      <c r="D14" s="18" t="s">
        <v>12</v>
      </c>
      <c r="E14" s="19">
        <v>1</v>
      </c>
      <c r="F14" s="20">
        <v>144</v>
      </c>
      <c r="G14" s="21">
        <f t="shared" ref="G14:G15" si="0">E14*F14</f>
        <v>144</v>
      </c>
      <c r="H14" s="1">
        <v>122.7</v>
      </c>
    </row>
    <row r="15" spans="3:8">
      <c r="C15" s="100"/>
      <c r="D15" s="18" t="s">
        <v>13</v>
      </c>
      <c r="E15" s="19">
        <v>2</v>
      </c>
      <c r="F15" s="20">
        <v>131</v>
      </c>
      <c r="G15" s="21">
        <f t="shared" si="0"/>
        <v>262</v>
      </c>
      <c r="H15" s="1">
        <v>245</v>
      </c>
    </row>
    <row r="16" spans="3:8">
      <c r="C16" s="100"/>
      <c r="D16" s="18" t="s">
        <v>14</v>
      </c>
      <c r="E16" s="19">
        <v>1</v>
      </c>
      <c r="F16" s="10"/>
      <c r="G16" s="21">
        <v>22.1</v>
      </c>
      <c r="H16" s="1"/>
    </row>
    <row r="17" spans="3:9">
      <c r="C17" s="100"/>
      <c r="D17" s="18" t="s">
        <v>15</v>
      </c>
      <c r="E17" s="19">
        <v>1</v>
      </c>
      <c r="F17" s="10"/>
      <c r="G17" s="21">
        <v>194.39999999999998</v>
      </c>
      <c r="H17" s="1"/>
    </row>
    <row r="18" spans="3:9">
      <c r="C18" s="100"/>
      <c r="D18" s="18" t="s">
        <v>16</v>
      </c>
      <c r="E18" s="19">
        <v>2</v>
      </c>
      <c r="F18" s="10"/>
      <c r="G18" s="21">
        <v>61.2</v>
      </c>
      <c r="H18" s="1"/>
      <c r="I18" s="1"/>
    </row>
    <row r="19" spans="3:9">
      <c r="C19" s="100"/>
      <c r="D19" s="18" t="s">
        <v>17</v>
      </c>
      <c r="E19" s="19">
        <v>2</v>
      </c>
      <c r="F19" s="10"/>
      <c r="G19" s="21">
        <v>23.6</v>
      </c>
      <c r="H19" s="1"/>
      <c r="I19" s="1"/>
    </row>
    <row r="20" spans="3:9">
      <c r="C20" s="100"/>
      <c r="D20" s="18" t="s">
        <v>18</v>
      </c>
      <c r="E20" s="19">
        <v>1</v>
      </c>
      <c r="F20" s="10"/>
      <c r="G20" s="21">
        <v>85</v>
      </c>
      <c r="H20" s="1"/>
      <c r="I20" s="1"/>
    </row>
    <row r="21" spans="3:9">
      <c r="C21" s="100"/>
      <c r="D21" s="18" t="s">
        <v>19</v>
      </c>
      <c r="E21" s="19">
        <v>3</v>
      </c>
      <c r="F21" s="10"/>
      <c r="G21" s="21">
        <v>145.43999999999997</v>
      </c>
      <c r="H21" s="1"/>
      <c r="I21" s="1"/>
    </row>
    <row r="22" spans="3:9" ht="15" thickBot="1">
      <c r="C22" s="100"/>
      <c r="D22" s="22" t="s">
        <v>20</v>
      </c>
      <c r="E22" s="23">
        <v>1</v>
      </c>
      <c r="F22" s="10"/>
      <c r="G22" s="24">
        <v>50</v>
      </c>
      <c r="H22" s="1"/>
      <c r="I22" s="1"/>
    </row>
    <row r="23" spans="3:9" ht="15" thickBot="1">
      <c r="C23" s="100"/>
      <c r="D23" s="13"/>
      <c r="E23" s="10"/>
      <c r="F23" s="10"/>
      <c r="G23" s="25">
        <f>SUM(G16:G22)+G13+H14+H15</f>
        <v>1543.44</v>
      </c>
      <c r="H23" s="1"/>
      <c r="I23" s="1"/>
    </row>
    <row r="24" spans="3:9" ht="15" thickBot="1">
      <c r="C24" s="100"/>
      <c r="D24" s="5" t="s">
        <v>21</v>
      </c>
      <c r="E24" s="10">
        <v>1</v>
      </c>
      <c r="F24" s="10">
        <v>300</v>
      </c>
      <c r="G24" s="26">
        <f>E24*F24</f>
        <v>300</v>
      </c>
      <c r="H24" s="1"/>
      <c r="I24" s="1"/>
    </row>
    <row r="25" spans="3:9" ht="15" thickBot="1">
      <c r="C25" s="100"/>
      <c r="D25" s="13"/>
      <c r="E25" s="10"/>
      <c r="F25" s="10"/>
      <c r="G25" s="27"/>
      <c r="H25" s="1"/>
      <c r="I25" s="1"/>
    </row>
    <row r="26" spans="3:9" ht="15" thickBot="1">
      <c r="C26" s="100"/>
      <c r="D26" s="5" t="s">
        <v>22</v>
      </c>
      <c r="E26" s="10"/>
      <c r="F26" s="10"/>
      <c r="G26" s="27"/>
      <c r="H26" s="1"/>
      <c r="I26" s="1"/>
    </row>
    <row r="27" spans="3:9">
      <c r="C27" s="100"/>
      <c r="D27" s="18" t="s">
        <v>23</v>
      </c>
      <c r="E27" s="10">
        <v>57</v>
      </c>
      <c r="F27" s="10">
        <f>F28*1.2</f>
        <v>36</v>
      </c>
      <c r="G27" s="28">
        <f>F27*E27</f>
        <v>2052</v>
      </c>
      <c r="H27" s="102" t="s">
        <v>24</v>
      </c>
      <c r="I27" s="103"/>
    </row>
    <row r="28" spans="3:9">
      <c r="C28" s="100"/>
      <c r="D28" s="18" t="s">
        <v>25</v>
      </c>
      <c r="E28" s="10">
        <v>1.5</v>
      </c>
      <c r="F28" s="10">
        <v>30</v>
      </c>
      <c r="G28" s="28">
        <f>F28*E28</f>
        <v>45</v>
      </c>
      <c r="H28" s="104"/>
      <c r="I28" s="105"/>
    </row>
    <row r="29" spans="3:9">
      <c r="C29" s="100"/>
      <c r="D29" s="18" t="s">
        <v>26</v>
      </c>
      <c r="E29" s="10">
        <v>57</v>
      </c>
      <c r="F29" s="10">
        <v>7.2</v>
      </c>
      <c r="G29" s="28">
        <f>F29*E29</f>
        <v>410.40000000000003</v>
      </c>
      <c r="H29" s="104"/>
      <c r="I29" s="105"/>
    </row>
    <row r="30" spans="3:9" ht="15" thickBot="1">
      <c r="C30" s="100"/>
      <c r="D30" s="22" t="s">
        <v>27</v>
      </c>
      <c r="E30" s="10"/>
      <c r="F30" s="10"/>
      <c r="G30" s="28">
        <v>50</v>
      </c>
      <c r="H30" s="104"/>
      <c r="I30" s="105"/>
    </row>
    <row r="31" spans="3:9" ht="15" thickBot="1">
      <c r="C31" s="100"/>
      <c r="D31" s="13"/>
      <c r="E31" s="10"/>
      <c r="F31" s="10"/>
      <c r="G31" s="29">
        <f>SUM(G27:G30)</f>
        <v>2557.4</v>
      </c>
      <c r="H31" s="106"/>
      <c r="I31" s="107"/>
    </row>
    <row r="32" spans="3:9" ht="15" thickBot="1">
      <c r="C32" s="100"/>
      <c r="D32" s="5" t="s">
        <v>28</v>
      </c>
      <c r="E32" s="10">
        <v>4</v>
      </c>
      <c r="F32" s="30">
        <v>30</v>
      </c>
      <c r="G32" s="31">
        <f>F32*E32</f>
        <v>120</v>
      </c>
      <c r="H32" s="1"/>
      <c r="I32" s="1"/>
    </row>
    <row r="33" spans="3:9" ht="15" thickBot="1">
      <c r="C33" s="100"/>
      <c r="D33" s="5" t="s">
        <v>95</v>
      </c>
      <c r="E33" s="10">
        <v>1</v>
      </c>
      <c r="F33" s="10">
        <v>50</v>
      </c>
      <c r="G33" s="32">
        <v>30</v>
      </c>
      <c r="H33" s="1"/>
      <c r="I33" s="33"/>
    </row>
    <row r="34" spans="3:9" ht="15" thickBot="1">
      <c r="C34" s="100"/>
      <c r="D34" s="13" t="s">
        <v>29</v>
      </c>
      <c r="E34" s="10"/>
      <c r="F34" s="10"/>
      <c r="G34" s="24">
        <v>50</v>
      </c>
      <c r="H34" s="1"/>
      <c r="I34" s="1"/>
    </row>
    <row r="35" spans="3:9" ht="15" thickBot="1">
      <c r="C35" s="101"/>
      <c r="D35" s="34"/>
      <c r="E35" s="35"/>
      <c r="F35" s="35"/>
      <c r="G35" s="36">
        <f>G8+G23+G31+G32+G33+G11+G34+G24</f>
        <v>6096.84</v>
      </c>
      <c r="H35" s="1"/>
      <c r="I35" s="1"/>
    </row>
    <row r="36" spans="3:9">
      <c r="E36" s="1"/>
      <c r="F36" s="1"/>
      <c r="G36" s="37"/>
      <c r="H36" s="1"/>
      <c r="I36" s="1"/>
    </row>
    <row r="37" spans="3:9" ht="15" thickBot="1">
      <c r="E37" s="3" t="s">
        <v>0</v>
      </c>
      <c r="F37" s="1"/>
      <c r="G37" s="4" t="s">
        <v>1</v>
      </c>
      <c r="H37" s="1"/>
      <c r="I37" s="1"/>
    </row>
    <row r="38" spans="3:9" ht="15" thickBot="1">
      <c r="C38" s="96" t="s">
        <v>30</v>
      </c>
      <c r="D38" s="77" t="s">
        <v>31</v>
      </c>
      <c r="E38" s="6">
        <v>1</v>
      </c>
      <c r="F38" s="6">
        <v>40</v>
      </c>
      <c r="G38" s="78">
        <f>F38*E38</f>
        <v>40</v>
      </c>
      <c r="H38" s="1"/>
      <c r="I38" s="33"/>
    </row>
    <row r="39" spans="3:9" ht="15" thickBot="1">
      <c r="C39" s="97"/>
      <c r="D39" s="77" t="s">
        <v>32</v>
      </c>
      <c r="E39" s="10">
        <v>1</v>
      </c>
      <c r="F39" s="10">
        <v>100</v>
      </c>
      <c r="G39" s="76">
        <f>F39*E39</f>
        <v>100</v>
      </c>
      <c r="H39" s="1"/>
      <c r="I39" s="1"/>
    </row>
    <row r="40" spans="3:9" ht="15" thickBot="1">
      <c r="C40" s="97"/>
      <c r="D40" s="77" t="s">
        <v>33</v>
      </c>
      <c r="E40" s="10">
        <v>2</v>
      </c>
      <c r="F40" s="10">
        <v>30</v>
      </c>
      <c r="G40" s="38">
        <f>F40*E40</f>
        <v>60</v>
      </c>
      <c r="H40" s="1"/>
      <c r="I40" s="33"/>
    </row>
    <row r="41" spans="3:9" ht="15" thickBot="1">
      <c r="C41" s="97"/>
      <c r="D41" s="77" t="s">
        <v>34</v>
      </c>
      <c r="E41" s="10">
        <v>1</v>
      </c>
      <c r="F41" s="10">
        <v>5</v>
      </c>
      <c r="G41" s="38">
        <f>F41*E41</f>
        <v>5</v>
      </c>
      <c r="H41" s="1"/>
      <c r="I41" s="1"/>
    </row>
    <row r="42" spans="3:9">
      <c r="C42" s="97"/>
      <c r="D42" s="79" t="s">
        <v>35</v>
      </c>
      <c r="E42" s="10">
        <v>1</v>
      </c>
      <c r="F42" s="10">
        <v>20</v>
      </c>
      <c r="G42" s="39">
        <f>F42*E42</f>
        <v>20</v>
      </c>
      <c r="H42" s="1"/>
      <c r="I42" s="1"/>
    </row>
    <row r="43" spans="3:9">
      <c r="C43" s="97"/>
      <c r="D43" s="79"/>
      <c r="E43" s="10">
        <v>0</v>
      </c>
      <c r="F43" s="10">
        <v>25</v>
      </c>
      <c r="G43" s="39">
        <f t="shared" ref="G43:G46" si="1">F43*E43</f>
        <v>0</v>
      </c>
      <c r="H43" s="1"/>
      <c r="I43" s="1"/>
    </row>
    <row r="44" spans="3:9">
      <c r="C44" s="97"/>
      <c r="D44" s="79" t="s">
        <v>36</v>
      </c>
      <c r="E44" s="10">
        <v>0</v>
      </c>
      <c r="F44" s="10">
        <v>5</v>
      </c>
      <c r="G44" s="39">
        <f t="shared" si="1"/>
        <v>0</v>
      </c>
      <c r="H44" s="1"/>
      <c r="I44" s="1"/>
    </row>
    <row r="45" spans="3:9">
      <c r="C45" s="97"/>
      <c r="D45" s="79" t="s">
        <v>120</v>
      </c>
      <c r="E45" s="10">
        <v>1</v>
      </c>
      <c r="F45" s="10">
        <v>150</v>
      </c>
      <c r="G45" s="39">
        <f t="shared" si="1"/>
        <v>150</v>
      </c>
      <c r="H45" s="1"/>
      <c r="I45" s="1"/>
    </row>
    <row r="46" spans="3:9">
      <c r="C46" s="97"/>
      <c r="D46" s="79" t="s">
        <v>37</v>
      </c>
      <c r="E46" s="10">
        <v>1</v>
      </c>
      <c r="F46" s="10">
        <v>50</v>
      </c>
      <c r="G46" s="39">
        <f t="shared" si="1"/>
        <v>50</v>
      </c>
      <c r="H46" s="1"/>
      <c r="I46" s="1"/>
    </row>
    <row r="47" spans="3:9" ht="15" thickBot="1">
      <c r="C47" s="97"/>
      <c r="D47" s="79"/>
      <c r="E47" s="10"/>
      <c r="F47" s="10"/>
      <c r="G47" s="40"/>
      <c r="H47" s="1"/>
    </row>
    <row r="48" spans="3:9" ht="15" thickBot="1">
      <c r="C48" s="98"/>
      <c r="D48" s="80"/>
      <c r="E48" s="35"/>
      <c r="F48" s="35"/>
      <c r="G48" s="36">
        <f>G38+G39+G40+G41+G42+G43+G44+G45+G46</f>
        <v>425</v>
      </c>
      <c r="H48" s="1"/>
    </row>
    <row r="49" spans="3:8">
      <c r="E49" s="1"/>
      <c r="F49" s="1"/>
      <c r="G49" s="2"/>
      <c r="H49" s="1"/>
    </row>
    <row r="50" spans="3:8" ht="15" thickBot="1">
      <c r="E50" s="3" t="s">
        <v>0</v>
      </c>
      <c r="F50" s="1"/>
      <c r="G50" s="4" t="s">
        <v>1</v>
      </c>
      <c r="H50" s="1"/>
    </row>
    <row r="51" spans="3:8" ht="15" thickBot="1">
      <c r="C51" s="96" t="s">
        <v>38</v>
      </c>
      <c r="D51" s="5" t="s">
        <v>39</v>
      </c>
      <c r="E51" s="6"/>
      <c r="F51" s="6"/>
      <c r="G51" s="7"/>
      <c r="H51" s="1"/>
    </row>
    <row r="52" spans="3:8">
      <c r="C52" s="97"/>
      <c r="D52" s="18" t="s">
        <v>40</v>
      </c>
      <c r="E52" s="30">
        <v>30</v>
      </c>
      <c r="F52" s="10">
        <v>35</v>
      </c>
      <c r="G52" s="41">
        <f>F52*E52</f>
        <v>1050</v>
      </c>
      <c r="H52" s="1"/>
    </row>
    <row r="53" spans="3:8">
      <c r="C53" s="97"/>
      <c r="D53" s="18" t="s">
        <v>41</v>
      </c>
      <c r="E53" s="30">
        <v>30</v>
      </c>
      <c r="F53" s="10">
        <v>20</v>
      </c>
      <c r="G53" s="41">
        <f t="shared" ref="G53:G66" si="2">F53*E53</f>
        <v>600</v>
      </c>
      <c r="H53" s="1"/>
    </row>
    <row r="54" spans="3:8">
      <c r="C54" s="97"/>
      <c r="D54" s="18" t="s">
        <v>42</v>
      </c>
      <c r="E54" s="30">
        <v>30</v>
      </c>
      <c r="F54" s="10">
        <v>16.5</v>
      </c>
      <c r="G54" s="41">
        <f t="shared" si="2"/>
        <v>495</v>
      </c>
      <c r="H54" s="1"/>
    </row>
    <row r="55" spans="3:8">
      <c r="C55" s="97"/>
      <c r="D55" s="18" t="s">
        <v>43</v>
      </c>
      <c r="E55" s="30">
        <v>600</v>
      </c>
      <c r="F55" s="10">
        <v>2</v>
      </c>
      <c r="G55" s="41">
        <f t="shared" si="2"/>
        <v>1200</v>
      </c>
      <c r="H55" s="1"/>
    </row>
    <row r="56" spans="3:8">
      <c r="C56" s="97"/>
      <c r="D56" s="18" t="s">
        <v>44</v>
      </c>
      <c r="E56" s="30">
        <v>32</v>
      </c>
      <c r="F56" s="10">
        <v>1.5</v>
      </c>
      <c r="G56" s="41">
        <f t="shared" si="2"/>
        <v>48</v>
      </c>
      <c r="H56" s="1"/>
    </row>
    <row r="57" spans="3:8">
      <c r="C57" s="97"/>
      <c r="D57" s="18" t="s">
        <v>45</v>
      </c>
      <c r="E57" s="30">
        <v>32</v>
      </c>
      <c r="F57" s="10">
        <v>0.3</v>
      </c>
      <c r="G57" s="41">
        <f t="shared" si="2"/>
        <v>9.6</v>
      </c>
      <c r="H57" s="1"/>
    </row>
    <row r="58" spans="3:8">
      <c r="C58" s="97"/>
      <c r="D58" s="18" t="s">
        <v>46</v>
      </c>
      <c r="E58" s="30">
        <f>3.45*E54+0.67*E56/8</f>
        <v>106.18</v>
      </c>
      <c r="F58" s="10">
        <v>2</v>
      </c>
      <c r="G58" s="41">
        <f t="shared" si="2"/>
        <v>212.36</v>
      </c>
      <c r="H58" s="1"/>
    </row>
    <row r="59" spans="3:8">
      <c r="C59" s="97"/>
      <c r="D59" s="18" t="s">
        <v>47</v>
      </c>
      <c r="E59" s="30">
        <v>50</v>
      </c>
      <c r="F59" s="10">
        <v>0.42</v>
      </c>
      <c r="G59" s="41">
        <f t="shared" si="2"/>
        <v>21</v>
      </c>
      <c r="H59" s="1"/>
    </row>
    <row r="60" spans="3:8" ht="15" thickBot="1">
      <c r="C60" s="97"/>
      <c r="D60" s="18" t="s">
        <v>48</v>
      </c>
      <c r="E60" s="30">
        <v>4</v>
      </c>
      <c r="F60" s="10">
        <v>2.5</v>
      </c>
      <c r="G60" s="41">
        <f t="shared" si="2"/>
        <v>10</v>
      </c>
      <c r="H60" s="1"/>
    </row>
    <row r="61" spans="3:8" ht="15" thickBot="1">
      <c r="C61" s="97"/>
      <c r="D61" s="13"/>
      <c r="E61" s="10"/>
      <c r="F61" s="10" t="s">
        <v>49</v>
      </c>
      <c r="G61" s="25">
        <f>SUM(G52:G60)</f>
        <v>3645.96</v>
      </c>
      <c r="H61" s="1"/>
    </row>
    <row r="62" spans="3:8" ht="15" thickBot="1">
      <c r="C62" s="97"/>
      <c r="D62" s="5" t="s">
        <v>50</v>
      </c>
      <c r="E62" s="10">
        <v>1</v>
      </c>
      <c r="F62" s="10">
        <v>100</v>
      </c>
      <c r="G62" s="31">
        <f t="shared" si="2"/>
        <v>100</v>
      </c>
      <c r="H62" s="1"/>
    </row>
    <row r="63" spans="3:8" ht="15" thickBot="1">
      <c r="C63" s="97"/>
      <c r="D63" s="13"/>
      <c r="E63" s="10"/>
      <c r="F63" s="10"/>
      <c r="G63" s="27"/>
      <c r="H63" s="1"/>
    </row>
    <row r="64" spans="3:8" ht="15" thickBot="1">
      <c r="C64" s="97"/>
      <c r="D64" s="5" t="s">
        <v>51</v>
      </c>
      <c r="E64" s="10">
        <v>1</v>
      </c>
      <c r="F64" s="10">
        <v>60</v>
      </c>
      <c r="G64" s="14">
        <f t="shared" si="2"/>
        <v>60</v>
      </c>
      <c r="H64" s="1"/>
    </row>
    <row r="65" spans="3:8" ht="15" thickBot="1">
      <c r="C65" s="97"/>
      <c r="D65" s="13"/>
      <c r="E65" s="10"/>
      <c r="F65" s="10"/>
      <c r="G65" s="27"/>
      <c r="H65" s="1"/>
    </row>
    <row r="66" spans="3:8" ht="15" thickBot="1">
      <c r="C66" s="97"/>
      <c r="D66" s="5" t="s">
        <v>52</v>
      </c>
      <c r="E66" s="10">
        <v>10</v>
      </c>
      <c r="F66" s="10">
        <v>3</v>
      </c>
      <c r="G66" s="14">
        <f t="shared" si="2"/>
        <v>30</v>
      </c>
      <c r="H66" s="1"/>
    </row>
    <row r="67" spans="3:8" ht="15" thickBot="1">
      <c r="C67" s="97"/>
      <c r="D67" s="13"/>
      <c r="E67" s="10"/>
      <c r="F67" s="10"/>
      <c r="G67" s="27"/>
      <c r="H67" s="1"/>
    </row>
    <row r="68" spans="3:8" ht="15" thickBot="1">
      <c r="C68" s="98"/>
      <c r="D68" s="34"/>
      <c r="E68" s="35"/>
      <c r="F68" s="35"/>
      <c r="G68" s="36">
        <f>G61+G62+G64+G66</f>
        <v>3835.96</v>
      </c>
      <c r="H68" s="1"/>
    </row>
    <row r="69" spans="3:8">
      <c r="E69" s="1"/>
      <c r="F69" s="1"/>
      <c r="G69" s="2"/>
      <c r="H69" s="1"/>
    </row>
    <row r="70" spans="3:8">
      <c r="E70" s="1"/>
      <c r="F70" s="1"/>
      <c r="G70" s="2"/>
      <c r="H70" s="1"/>
    </row>
    <row r="71" spans="3:8" ht="15" thickBot="1">
      <c r="E71" s="3" t="s">
        <v>0</v>
      </c>
      <c r="F71" s="1"/>
      <c r="G71" s="4" t="s">
        <v>1</v>
      </c>
      <c r="H71" s="1"/>
    </row>
    <row r="72" spans="3:8" ht="15.75" customHeight="1" thickBot="1">
      <c r="C72" s="109" t="s">
        <v>53</v>
      </c>
      <c r="D72" s="5" t="s">
        <v>54</v>
      </c>
      <c r="E72" s="6"/>
      <c r="F72" s="6"/>
      <c r="G72" s="7"/>
      <c r="H72" s="1"/>
    </row>
    <row r="73" spans="3:8">
      <c r="C73" s="108"/>
      <c r="D73" s="8" t="s">
        <v>4</v>
      </c>
      <c r="E73" s="10">
        <v>50</v>
      </c>
      <c r="F73" s="10">
        <v>15</v>
      </c>
      <c r="G73" s="42">
        <f t="shared" ref="G73:G87" si="3">F73*E73</f>
        <v>750</v>
      </c>
      <c r="H73" s="1"/>
    </row>
    <row r="74" spans="3:8">
      <c r="C74" s="108"/>
      <c r="D74" s="43" t="s">
        <v>6</v>
      </c>
      <c r="E74" s="10">
        <v>90</v>
      </c>
      <c r="F74" s="10">
        <v>0.8</v>
      </c>
      <c r="G74" s="42">
        <f t="shared" si="3"/>
        <v>72</v>
      </c>
      <c r="H74" s="1"/>
    </row>
    <row r="75" spans="3:8">
      <c r="C75" s="108"/>
      <c r="D75" s="16" t="s">
        <v>55</v>
      </c>
      <c r="E75" s="10">
        <v>1</v>
      </c>
      <c r="F75" s="10">
        <v>60</v>
      </c>
      <c r="G75" s="42">
        <f t="shared" si="3"/>
        <v>60</v>
      </c>
      <c r="H75" s="1"/>
    </row>
    <row r="76" spans="3:8">
      <c r="C76" s="108"/>
      <c r="D76" s="44" t="s">
        <v>126</v>
      </c>
      <c r="E76" s="10">
        <v>0</v>
      </c>
      <c r="F76" s="10">
        <v>50</v>
      </c>
      <c r="G76" s="42">
        <f t="shared" si="3"/>
        <v>0</v>
      </c>
      <c r="H76" s="1"/>
    </row>
    <row r="77" spans="3:8">
      <c r="C77" s="108"/>
      <c r="D77" s="44" t="s">
        <v>56</v>
      </c>
      <c r="E77" s="10">
        <v>1</v>
      </c>
      <c r="F77" s="10">
        <v>30</v>
      </c>
      <c r="G77" s="42">
        <f t="shared" si="3"/>
        <v>30</v>
      </c>
      <c r="H77" s="1"/>
    </row>
    <row r="78" spans="3:8">
      <c r="C78" s="108"/>
      <c r="D78" s="44" t="s">
        <v>57</v>
      </c>
      <c r="E78" s="10">
        <v>1</v>
      </c>
      <c r="F78" s="10">
        <v>20</v>
      </c>
      <c r="G78" s="42">
        <f t="shared" si="3"/>
        <v>20</v>
      </c>
      <c r="H78" s="1"/>
    </row>
    <row r="79" spans="3:8">
      <c r="C79" s="108"/>
      <c r="D79" s="44" t="s">
        <v>58</v>
      </c>
      <c r="E79" s="10">
        <v>1</v>
      </c>
      <c r="F79" s="10">
        <v>25</v>
      </c>
      <c r="G79" s="42">
        <f t="shared" si="3"/>
        <v>25</v>
      </c>
      <c r="H79" s="1"/>
    </row>
    <row r="80" spans="3:8">
      <c r="C80" s="108"/>
      <c r="D80" s="44" t="s">
        <v>59</v>
      </c>
      <c r="E80" s="10">
        <v>1</v>
      </c>
      <c r="F80" s="10">
        <v>20</v>
      </c>
      <c r="G80" s="42">
        <f t="shared" si="3"/>
        <v>20</v>
      </c>
      <c r="H80" s="1"/>
    </row>
    <row r="81" spans="3:8">
      <c r="C81" s="108"/>
      <c r="D81" s="44"/>
      <c r="E81" s="10">
        <v>0</v>
      </c>
      <c r="F81" s="10">
        <v>200</v>
      </c>
      <c r="G81" s="11">
        <f t="shared" si="3"/>
        <v>0</v>
      </c>
      <c r="H81" s="45"/>
    </row>
    <row r="82" spans="3:8">
      <c r="C82" s="108"/>
      <c r="D82" s="44" t="s">
        <v>60</v>
      </c>
      <c r="E82" s="10">
        <v>1</v>
      </c>
      <c r="F82" s="10">
        <v>0.8</v>
      </c>
      <c r="G82" s="42">
        <f t="shared" si="3"/>
        <v>0.8</v>
      </c>
      <c r="H82" s="1"/>
    </row>
    <row r="83" spans="3:8">
      <c r="C83" s="108"/>
      <c r="D83" s="44" t="s">
        <v>61</v>
      </c>
      <c r="E83" s="10">
        <v>1</v>
      </c>
      <c r="F83" s="10">
        <v>30</v>
      </c>
      <c r="G83" s="42">
        <f t="shared" si="3"/>
        <v>30</v>
      </c>
      <c r="H83" s="1"/>
    </row>
    <row r="84" spans="3:8">
      <c r="C84" s="108"/>
      <c r="D84" s="44" t="s">
        <v>62</v>
      </c>
      <c r="E84" s="10">
        <v>1</v>
      </c>
      <c r="F84" s="10">
        <v>8</v>
      </c>
      <c r="G84" s="42">
        <f t="shared" si="3"/>
        <v>8</v>
      </c>
      <c r="H84" s="1"/>
    </row>
    <row r="85" spans="3:8">
      <c r="C85" s="108"/>
      <c r="D85" s="44" t="s">
        <v>63</v>
      </c>
      <c r="E85" s="10">
        <v>1</v>
      </c>
      <c r="F85" s="10">
        <v>5</v>
      </c>
      <c r="G85" s="42">
        <f t="shared" si="3"/>
        <v>5</v>
      </c>
      <c r="H85" s="1"/>
    </row>
    <row r="86" spans="3:8">
      <c r="C86" s="108"/>
      <c r="D86" s="44" t="s">
        <v>64</v>
      </c>
      <c r="E86" s="10">
        <v>1</v>
      </c>
      <c r="F86" s="10">
        <v>1</v>
      </c>
      <c r="G86" s="42">
        <f t="shared" si="3"/>
        <v>1</v>
      </c>
      <c r="H86" s="1"/>
    </row>
    <row r="87" spans="3:8" ht="15" thickBot="1">
      <c r="C87" s="108"/>
      <c r="D87" s="44" t="s">
        <v>65</v>
      </c>
      <c r="E87" s="10">
        <v>1</v>
      </c>
      <c r="F87" s="10">
        <v>10</v>
      </c>
      <c r="G87" s="42">
        <f t="shared" si="3"/>
        <v>10</v>
      </c>
      <c r="H87" s="1"/>
    </row>
    <row r="88" spans="3:8" ht="15" thickBot="1">
      <c r="C88" s="110"/>
      <c r="D88" s="34"/>
      <c r="E88" s="35"/>
      <c r="F88" s="35"/>
      <c r="G88" s="36">
        <f>SUM(G73:G87)</f>
        <v>1031.8</v>
      </c>
      <c r="H88" s="1"/>
    </row>
    <row r="89" spans="3:8">
      <c r="E89" s="1"/>
      <c r="F89" s="1"/>
      <c r="G89" s="2"/>
      <c r="H89" s="1"/>
    </row>
    <row r="90" spans="3:8" ht="15" thickBot="1">
      <c r="E90" s="3" t="s">
        <v>0</v>
      </c>
      <c r="F90" s="1"/>
      <c r="G90" s="4" t="s">
        <v>1</v>
      </c>
      <c r="H90" s="1"/>
    </row>
    <row r="91" spans="3:8" ht="15" customHeight="1">
      <c r="C91" s="96" t="s">
        <v>66</v>
      </c>
      <c r="D91" s="46" t="s">
        <v>67</v>
      </c>
      <c r="E91" s="6"/>
      <c r="F91" s="6"/>
      <c r="G91" s="47">
        <v>15</v>
      </c>
      <c r="H91" s="1"/>
    </row>
    <row r="92" spans="3:8">
      <c r="C92" s="97"/>
      <c r="D92" s="18" t="s">
        <v>68</v>
      </c>
      <c r="E92" s="10"/>
      <c r="F92" s="10"/>
      <c r="G92" s="48">
        <v>10</v>
      </c>
      <c r="H92" s="1"/>
    </row>
    <row r="93" spans="3:8">
      <c r="C93" s="97"/>
      <c r="D93" s="18" t="s">
        <v>69</v>
      </c>
      <c r="E93" s="10"/>
      <c r="F93" s="10"/>
      <c r="G93" s="48">
        <v>5</v>
      </c>
      <c r="H93" s="1"/>
    </row>
    <row r="94" spans="3:8">
      <c r="C94" s="97"/>
      <c r="D94" s="44" t="s">
        <v>122</v>
      </c>
      <c r="E94" s="10">
        <v>1</v>
      </c>
      <c r="F94" s="10">
        <v>200</v>
      </c>
      <c r="G94" s="95">
        <f t="shared" ref="G94" si="4">F94*E94</f>
        <v>200</v>
      </c>
      <c r="H94" s="1"/>
    </row>
    <row r="95" spans="3:8">
      <c r="C95" s="97"/>
      <c r="D95" s="18" t="s">
        <v>70</v>
      </c>
      <c r="E95" s="10"/>
      <c r="F95" s="10"/>
      <c r="G95" s="48">
        <v>30</v>
      </c>
      <c r="H95" s="1"/>
    </row>
    <row r="96" spans="3:8">
      <c r="C96" s="97"/>
      <c r="D96" s="18" t="s">
        <v>71</v>
      </c>
      <c r="E96" s="10"/>
      <c r="F96" s="10"/>
      <c r="G96" s="49">
        <v>180</v>
      </c>
      <c r="H96" s="1"/>
    </row>
    <row r="97" spans="3:9">
      <c r="C97" s="97"/>
      <c r="D97" s="18"/>
      <c r="E97" s="10"/>
      <c r="F97" s="10"/>
      <c r="G97" s="49">
        <v>0</v>
      </c>
      <c r="H97" s="1"/>
    </row>
    <row r="98" spans="3:9">
      <c r="C98" s="97"/>
      <c r="D98" s="18"/>
      <c r="E98" s="10"/>
      <c r="F98" s="10"/>
      <c r="G98" s="27"/>
      <c r="H98" s="1"/>
    </row>
    <row r="99" spans="3:9" ht="15" thickBot="1">
      <c r="C99" s="97"/>
      <c r="D99" s="18" t="s">
        <v>72</v>
      </c>
      <c r="E99" s="10"/>
      <c r="F99" s="10"/>
      <c r="G99" s="50">
        <v>15</v>
      </c>
      <c r="H99" s="1"/>
    </row>
    <row r="100" spans="3:9" ht="15" thickBot="1">
      <c r="C100" s="98"/>
      <c r="D100" s="34"/>
      <c r="E100" s="35"/>
      <c r="F100" s="35"/>
      <c r="G100" s="36">
        <f>SUM(G91:G99)</f>
        <v>455</v>
      </c>
      <c r="H100" s="1"/>
    </row>
    <row r="101" spans="3:9">
      <c r="E101" s="1"/>
      <c r="F101" s="1"/>
      <c r="G101" s="2"/>
      <c r="H101" s="1"/>
    </row>
    <row r="102" spans="3:9">
      <c r="E102" s="1"/>
      <c r="F102" s="1"/>
      <c r="G102" s="2"/>
      <c r="H102" s="1"/>
    </row>
    <row r="103" spans="3:9" ht="15" thickBot="1">
      <c r="E103" s="3" t="s">
        <v>0</v>
      </c>
      <c r="F103" s="1"/>
      <c r="G103" s="4" t="s">
        <v>1</v>
      </c>
      <c r="H103" s="1"/>
    </row>
    <row r="104" spans="3:9" ht="15" customHeight="1">
      <c r="C104" s="96" t="s">
        <v>73</v>
      </c>
      <c r="D104" s="51" t="s">
        <v>74</v>
      </c>
      <c r="E104" s="6">
        <v>1</v>
      </c>
      <c r="F104" s="6">
        <v>150</v>
      </c>
      <c r="G104" s="52">
        <f t="shared" ref="G104:G109" si="5">E104*F104</f>
        <v>150</v>
      </c>
      <c r="H104" s="45"/>
      <c r="I104" t="s">
        <v>75</v>
      </c>
    </row>
    <row r="105" spans="3:9">
      <c r="C105" s="97"/>
      <c r="D105" s="53" t="s">
        <v>76</v>
      </c>
      <c r="E105" s="10">
        <v>6</v>
      </c>
      <c r="F105" s="10">
        <v>10</v>
      </c>
      <c r="G105" s="54">
        <f t="shared" si="5"/>
        <v>60</v>
      </c>
      <c r="H105" s="1"/>
    </row>
    <row r="106" spans="3:9">
      <c r="C106" s="97"/>
      <c r="D106" s="13" t="s">
        <v>77</v>
      </c>
      <c r="E106" s="10">
        <v>0</v>
      </c>
      <c r="F106" s="10">
        <v>15</v>
      </c>
      <c r="G106" s="49">
        <f t="shared" si="5"/>
        <v>0</v>
      </c>
      <c r="H106" s="1"/>
    </row>
    <row r="107" spans="3:9">
      <c r="C107" s="97"/>
      <c r="D107" s="13" t="s">
        <v>78</v>
      </c>
      <c r="E107" s="10">
        <v>0</v>
      </c>
      <c r="F107" s="10">
        <v>15</v>
      </c>
      <c r="G107" s="49">
        <f t="shared" si="5"/>
        <v>0</v>
      </c>
      <c r="H107" s="1"/>
    </row>
    <row r="108" spans="3:9">
      <c r="C108" s="97"/>
      <c r="D108" s="13" t="s">
        <v>79</v>
      </c>
      <c r="E108" s="10">
        <v>1</v>
      </c>
      <c r="F108" s="10">
        <v>20</v>
      </c>
      <c r="G108" s="55">
        <f t="shared" si="5"/>
        <v>20</v>
      </c>
      <c r="H108" s="1"/>
    </row>
    <row r="109" spans="3:9" ht="15" thickBot="1">
      <c r="C109" s="97"/>
      <c r="D109" s="16" t="s">
        <v>80</v>
      </c>
      <c r="E109" s="10">
        <v>0</v>
      </c>
      <c r="F109" s="10">
        <v>50</v>
      </c>
      <c r="G109" s="54">
        <f t="shared" si="5"/>
        <v>0</v>
      </c>
      <c r="H109" s="1"/>
    </row>
    <row r="110" spans="3:9" ht="15" thickBot="1">
      <c r="C110" s="98"/>
      <c r="D110" s="34"/>
      <c r="E110" s="35"/>
      <c r="F110" s="35"/>
      <c r="G110" s="36">
        <f>SUM(G104:G109)</f>
        <v>230</v>
      </c>
      <c r="H110" s="1"/>
    </row>
    <row r="111" spans="3:9">
      <c r="E111" s="1"/>
      <c r="F111" s="1"/>
      <c r="G111" s="2"/>
      <c r="H111" s="1"/>
    </row>
    <row r="112" spans="3:9">
      <c r="E112" s="1"/>
      <c r="F112" s="1"/>
      <c r="G112" s="2"/>
      <c r="H112" s="1"/>
    </row>
    <row r="113" spans="4:8">
      <c r="E113" s="1"/>
      <c r="F113" s="1"/>
      <c r="G113" s="2"/>
      <c r="H113" s="1"/>
    </row>
    <row r="114" spans="4:8">
      <c r="E114" s="1"/>
      <c r="F114" s="1"/>
      <c r="G114" s="2"/>
      <c r="H114" s="1"/>
    </row>
    <row r="115" spans="4:8">
      <c r="E115" s="1"/>
      <c r="F115" s="1"/>
      <c r="G115" s="2"/>
      <c r="H115" s="1"/>
    </row>
    <row r="116" spans="4:8" ht="15" thickBot="1">
      <c r="E116" s="1"/>
      <c r="F116" s="1"/>
      <c r="G116" s="2"/>
      <c r="H116" s="1"/>
    </row>
    <row r="117" spans="4:8" ht="15" thickBot="1">
      <c r="D117" s="5" t="s">
        <v>81</v>
      </c>
      <c r="E117" s="1"/>
      <c r="F117" s="1"/>
      <c r="G117" s="36">
        <f>G110+G100+G88+G68+G48+G35</f>
        <v>12074.6</v>
      </c>
      <c r="H117" s="1"/>
    </row>
    <row r="118" spans="4:8" ht="15" thickBot="1">
      <c r="D118" t="s">
        <v>123</v>
      </c>
      <c r="E118" s="1"/>
      <c r="F118" s="1"/>
      <c r="G118" s="2">
        <v>1000</v>
      </c>
      <c r="H118" s="1"/>
    </row>
    <row r="119" spans="4:8" ht="15" thickBot="1">
      <c r="D119" s="5" t="s">
        <v>125</v>
      </c>
      <c r="E119" s="1"/>
      <c r="F119" s="1"/>
      <c r="G119" s="36">
        <f>2500+200</f>
        <v>2700</v>
      </c>
      <c r="H119" s="1"/>
    </row>
    <row r="120" spans="4:8" ht="15" thickBot="1">
      <c r="D120" t="s">
        <v>83</v>
      </c>
      <c r="E120" s="1"/>
      <c r="F120" s="1"/>
      <c r="G120" s="2">
        <v>250</v>
      </c>
      <c r="H120" s="1"/>
    </row>
    <row r="121" spans="4:8" ht="15" thickBot="1">
      <c r="D121" s="5" t="s">
        <v>84</v>
      </c>
      <c r="E121" s="1"/>
      <c r="F121" s="1"/>
      <c r="G121" s="36">
        <f>0.1*(G117+G119+G118+G120)</f>
        <v>1602.46</v>
      </c>
      <c r="H121" s="1"/>
    </row>
    <row r="122" spans="4:8" ht="15" thickBot="1">
      <c r="E122" s="1"/>
      <c r="F122" s="1"/>
      <c r="G122" s="2"/>
      <c r="H122" s="1"/>
    </row>
    <row r="123" spans="4:8" ht="15" thickBot="1">
      <c r="D123" s="5" t="s">
        <v>85</v>
      </c>
      <c r="E123" s="1"/>
      <c r="F123" s="1"/>
      <c r="G123" s="36">
        <f>G117+G119+G121+G120+G118</f>
        <v>17627.060000000001</v>
      </c>
      <c r="H123" s="1"/>
    </row>
    <row r="124" spans="4:8">
      <c r="E124" s="1"/>
      <c r="F124" s="1"/>
      <c r="G124" s="2"/>
      <c r="H124" s="1"/>
    </row>
    <row r="125" spans="4:8" ht="15" thickBot="1">
      <c r="E125" s="1"/>
      <c r="F125" s="1"/>
      <c r="G125" s="2"/>
      <c r="H125" s="1"/>
    </row>
    <row r="126" spans="4:8" ht="15" thickBot="1">
      <c r="D126" s="5" t="s">
        <v>86</v>
      </c>
      <c r="E126" s="36">
        <f>G117</f>
        <v>12074.6</v>
      </c>
      <c r="F126" s="1"/>
      <c r="G126" s="2"/>
      <c r="H126" s="1"/>
    </row>
    <row r="127" spans="4:8" ht="15" thickBot="1">
      <c r="D127" s="5" t="s">
        <v>96</v>
      </c>
      <c r="E127" s="36">
        <v>1000</v>
      </c>
      <c r="F127" s="1"/>
      <c r="G127" s="2"/>
      <c r="H127" s="1"/>
    </row>
    <row r="128" spans="4:8" ht="15" thickBot="1">
      <c r="D128" s="5" t="s">
        <v>87</v>
      </c>
      <c r="E128" s="36">
        <f>G119</f>
        <v>2700</v>
      </c>
      <c r="F128" s="56">
        <f>E128/G123</f>
        <v>0.15317358651981669</v>
      </c>
      <c r="G128" s="2"/>
      <c r="H128" s="1"/>
    </row>
    <row r="129" spans="4:8" ht="15" thickBot="1">
      <c r="D129" s="5" t="s">
        <v>119</v>
      </c>
      <c r="E129" s="36">
        <v>250</v>
      </c>
      <c r="F129" s="56"/>
      <c r="G129" s="2"/>
      <c r="H129" s="1"/>
    </row>
    <row r="130" spans="4:8" ht="15" thickBot="1">
      <c r="D130" s="5" t="s">
        <v>88</v>
      </c>
      <c r="E130" s="36">
        <f>G121</f>
        <v>1602.46</v>
      </c>
      <c r="F130" s="1"/>
      <c r="G130" s="2"/>
      <c r="H130" s="1"/>
    </row>
    <row r="131" spans="4:8">
      <c r="E131" s="1"/>
      <c r="F131" s="1"/>
      <c r="G131" s="2"/>
      <c r="H131" s="1"/>
    </row>
    <row r="132" spans="4:8">
      <c r="E132" s="62">
        <f>SUM(E126:E130)</f>
        <v>17627.060000000001</v>
      </c>
      <c r="F132" s="1"/>
      <c r="G132" s="2"/>
      <c r="H132" s="1"/>
    </row>
    <row r="133" spans="4:8">
      <c r="E133" s="1"/>
      <c r="F133" s="1"/>
      <c r="G133" s="2"/>
      <c r="H133" s="1"/>
    </row>
    <row r="134" spans="4:8">
      <c r="E134" s="1"/>
      <c r="F134" s="1"/>
      <c r="G134" s="2"/>
      <c r="H134" s="1"/>
    </row>
    <row r="135" spans="4:8">
      <c r="E135" s="1"/>
      <c r="F135" s="1"/>
      <c r="G135" s="2"/>
      <c r="H135" s="1"/>
    </row>
    <row r="136" spans="4:8">
      <c r="E136" s="1"/>
      <c r="F136" s="1"/>
      <c r="G136" s="2"/>
      <c r="H136" s="1"/>
    </row>
    <row r="137" spans="4:8">
      <c r="E137" s="1"/>
      <c r="F137" s="1"/>
      <c r="G137" s="2"/>
      <c r="H137" s="1"/>
    </row>
    <row r="138" spans="4:8" ht="15" thickBot="1">
      <c r="E138" s="1"/>
      <c r="F138" s="1"/>
      <c r="G138" s="2"/>
      <c r="H138" s="1"/>
    </row>
    <row r="139" spans="4:8" ht="15" thickBot="1">
      <c r="D139" s="57" t="s">
        <v>89</v>
      </c>
      <c r="E139" s="36">
        <f>G35</f>
        <v>6096.84</v>
      </c>
      <c r="F139" s="1"/>
      <c r="G139" s="2"/>
      <c r="H139" s="1"/>
    </row>
    <row r="140" spans="4:8" ht="15" thickBot="1">
      <c r="D140" s="58" t="s">
        <v>90</v>
      </c>
      <c r="E140" s="36">
        <f>G48</f>
        <v>425</v>
      </c>
      <c r="F140" s="1"/>
      <c r="G140" s="2"/>
      <c r="H140" s="1"/>
    </row>
    <row r="141" spans="4:8" ht="15" thickBot="1">
      <c r="D141" s="59" t="s">
        <v>91</v>
      </c>
      <c r="E141" s="36">
        <f>G68</f>
        <v>3835.96</v>
      </c>
      <c r="F141" s="1"/>
      <c r="G141" s="2"/>
      <c r="H141" s="1"/>
    </row>
    <row r="142" spans="4:8" ht="15" thickBot="1">
      <c r="D142" s="60" t="s">
        <v>92</v>
      </c>
      <c r="E142" s="36">
        <f>G88</f>
        <v>1031.8</v>
      </c>
      <c r="F142" s="1"/>
      <c r="G142" s="2"/>
      <c r="H142" s="1"/>
    </row>
    <row r="143" spans="4:8" ht="15" thickBot="1">
      <c r="D143" s="61" t="s">
        <v>93</v>
      </c>
      <c r="E143" s="36">
        <f>G100</f>
        <v>455</v>
      </c>
      <c r="F143" s="1"/>
      <c r="G143" s="2"/>
      <c r="H143" s="1"/>
    </row>
    <row r="144" spans="4:8" ht="15" thickBot="1">
      <c r="D144" s="5" t="s">
        <v>94</v>
      </c>
      <c r="E144" s="36">
        <f>G110</f>
        <v>230</v>
      </c>
      <c r="F144" s="1"/>
      <c r="G144" s="2"/>
      <c r="H144" s="1"/>
    </row>
    <row r="145" spans="5:8">
      <c r="E145" s="1"/>
      <c r="F145" s="1"/>
      <c r="G145" s="2"/>
      <c r="H145" s="1"/>
    </row>
    <row r="146" spans="5:8">
      <c r="E146" s="62">
        <f>SUM(E139:E145)</f>
        <v>12074.599999999999</v>
      </c>
      <c r="F146" s="1"/>
      <c r="G146" s="2"/>
      <c r="H146" s="1"/>
    </row>
  </sheetData>
  <mergeCells count="7">
    <mergeCell ref="C104:C110"/>
    <mergeCell ref="C5:C35"/>
    <mergeCell ref="H27:I31"/>
    <mergeCell ref="C38:C48"/>
    <mergeCell ref="C51:C68"/>
    <mergeCell ref="C72:C88"/>
    <mergeCell ref="C91:C100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N24"/>
  <sheetViews>
    <sheetView topLeftCell="B1" workbookViewId="0">
      <selection activeCell="L24" sqref="L24"/>
    </sheetView>
  </sheetViews>
  <sheetFormatPr baseColWidth="10" defaultColWidth="8.83203125" defaultRowHeight="14" x14ac:dyDescent="0"/>
  <cols>
    <col min="3" max="10" width="15.6640625" customWidth="1"/>
  </cols>
  <sheetData>
    <row r="3" spans="3:12" ht="15" thickBot="1"/>
    <row r="4" spans="3:12" ht="37" thickBot="1">
      <c r="C4" s="63"/>
      <c r="D4" s="64" t="s">
        <v>97</v>
      </c>
      <c r="E4" s="64" t="s">
        <v>98</v>
      </c>
      <c r="F4" s="64" t="s">
        <v>99</v>
      </c>
      <c r="G4" s="64" t="s">
        <v>100</v>
      </c>
      <c r="H4" s="64" t="s">
        <v>101</v>
      </c>
      <c r="I4" s="65" t="s">
        <v>102</v>
      </c>
      <c r="J4" s="66" t="s">
        <v>103</v>
      </c>
    </row>
    <row r="5" spans="3:12" ht="15" thickBot="1">
      <c r="C5" s="64" t="s">
        <v>104</v>
      </c>
      <c r="D5" s="81">
        <v>5</v>
      </c>
      <c r="E5" s="81">
        <f>$K5*0.05</f>
        <v>79.300000000000011</v>
      </c>
      <c r="F5" s="81">
        <v>200</v>
      </c>
      <c r="G5" s="81">
        <f>$K5*0.95</f>
        <v>1506.6999999999998</v>
      </c>
      <c r="H5" s="81">
        <v>500</v>
      </c>
      <c r="I5" s="84">
        <v>50</v>
      </c>
      <c r="J5" s="81">
        <f>SUM(D5:I5)</f>
        <v>2341</v>
      </c>
      <c r="K5" s="75">
        <f>'OPTION 3'!G8+'OPTION 3'!G11+'OPTION 3'!G64+'OPTION 3'!G66</f>
        <v>1586</v>
      </c>
    </row>
    <row r="6" spans="3:12" ht="15" thickBot="1">
      <c r="C6" s="64" t="s">
        <v>105</v>
      </c>
      <c r="D6" s="81">
        <v>4</v>
      </c>
      <c r="E6" s="81">
        <f t="shared" ref="E6:E15" si="0">$K6*0.05</f>
        <v>127.87</v>
      </c>
      <c r="F6" s="81">
        <f t="shared" ref="F6:F12" si="1">$K6*0.1</f>
        <v>255.74</v>
      </c>
      <c r="G6" s="81">
        <f t="shared" ref="G6:G15" si="2">$K6*0.95</f>
        <v>2429.5300000000002</v>
      </c>
      <c r="H6" s="81">
        <f t="shared" ref="H6" si="3">K6*0.25</f>
        <v>639.35</v>
      </c>
      <c r="I6" s="84">
        <v>55</v>
      </c>
      <c r="J6" s="81">
        <f t="shared" ref="J6:J15" si="4">SUM(D6:I6)</f>
        <v>3511.4900000000002</v>
      </c>
      <c r="K6" s="75">
        <f>'OPTION 3'!G31</f>
        <v>2557.4</v>
      </c>
    </row>
    <row r="7" spans="3:12" ht="15" thickBot="1">
      <c r="C7" s="64" t="s">
        <v>106</v>
      </c>
      <c r="D7" s="81">
        <v>4</v>
      </c>
      <c r="E7" s="81">
        <v>65</v>
      </c>
      <c r="F7" s="81">
        <v>120</v>
      </c>
      <c r="G7" s="81">
        <f>$K7*0.94</f>
        <v>1685.8335999999999</v>
      </c>
      <c r="H7" s="81">
        <v>353</v>
      </c>
      <c r="I7" s="84">
        <v>65</v>
      </c>
      <c r="J7" s="81">
        <f t="shared" si="4"/>
        <v>2292.8335999999999</v>
      </c>
      <c r="K7" s="75">
        <f>'OPTION 3'!G23-'OPTION 3'!G22+'OPTION 3'!G24</f>
        <v>1793.44</v>
      </c>
    </row>
    <row r="8" spans="3:12" ht="25" thickBot="1">
      <c r="C8" s="64" t="s">
        <v>107</v>
      </c>
      <c r="D8" s="81">
        <v>4</v>
      </c>
      <c r="E8" s="81">
        <f t="shared" si="0"/>
        <v>19.25</v>
      </c>
      <c r="F8" s="81">
        <v>30</v>
      </c>
      <c r="G8" s="81">
        <v>295</v>
      </c>
      <c r="H8" s="81">
        <v>70</v>
      </c>
      <c r="I8" s="84">
        <v>30</v>
      </c>
      <c r="J8" s="81">
        <f t="shared" si="4"/>
        <v>448.25</v>
      </c>
      <c r="K8" s="75">
        <f>'OPTION 3'!G48-'OPTION 3'!G38</f>
        <v>385</v>
      </c>
    </row>
    <row r="9" spans="3:12" ht="25" thickBot="1">
      <c r="C9" s="64" t="s">
        <v>108</v>
      </c>
      <c r="D9" s="81">
        <v>4</v>
      </c>
      <c r="E9" s="81">
        <v>50</v>
      </c>
      <c r="F9" s="81">
        <v>120</v>
      </c>
      <c r="G9" s="81">
        <v>3500</v>
      </c>
      <c r="H9" s="81">
        <v>800</v>
      </c>
      <c r="I9" s="84">
        <v>75</v>
      </c>
      <c r="J9" s="81">
        <f t="shared" si="4"/>
        <v>4549</v>
      </c>
      <c r="K9" s="75">
        <f>'OPTION 3'!G32+'OPTION 3'!G61+'OPTION 3'!G62</f>
        <v>3865.96</v>
      </c>
    </row>
    <row r="10" spans="3:12" ht="25" thickBot="1">
      <c r="C10" s="64" t="s">
        <v>109</v>
      </c>
      <c r="D10" s="81">
        <v>4</v>
      </c>
      <c r="E10" s="81">
        <f t="shared" si="0"/>
        <v>9.75</v>
      </c>
      <c r="F10" s="81">
        <v>50</v>
      </c>
      <c r="G10" s="81">
        <f t="shared" si="2"/>
        <v>185.25</v>
      </c>
      <c r="H10" s="81">
        <v>35</v>
      </c>
      <c r="I10" s="84">
        <v>35</v>
      </c>
      <c r="J10" s="81">
        <f t="shared" si="4"/>
        <v>319</v>
      </c>
      <c r="K10">
        <f>'OPTION 3'!G96+'OPTION 3'!G97+'OPTION 3'!G99+'OPTION 3'!G106+'OPTION 3'!G107</f>
        <v>195</v>
      </c>
    </row>
    <row r="11" spans="3:12" ht="25" thickBot="1">
      <c r="C11" s="64" t="s">
        <v>110</v>
      </c>
      <c r="D11" s="81">
        <v>4</v>
      </c>
      <c r="E11" s="81">
        <v>10</v>
      </c>
      <c r="F11" s="81">
        <v>50</v>
      </c>
      <c r="G11" s="81">
        <f t="shared" si="2"/>
        <v>123.5</v>
      </c>
      <c r="H11" s="81">
        <f t="shared" ref="H11:H12" si="5">K11*0.2</f>
        <v>26</v>
      </c>
      <c r="I11" s="84">
        <v>25</v>
      </c>
      <c r="J11" s="81">
        <f t="shared" si="4"/>
        <v>238.5</v>
      </c>
      <c r="K11" s="75">
        <f>'OPTION 3'!G33+'OPTION 3'!G105+'OPTION 3'!G109+'OPTION 3'!G38</f>
        <v>130</v>
      </c>
    </row>
    <row r="12" spans="3:12" ht="25" thickBot="1">
      <c r="C12" s="64" t="s">
        <v>111</v>
      </c>
      <c r="D12" s="81">
        <v>4</v>
      </c>
      <c r="E12" s="81">
        <f t="shared" si="0"/>
        <v>0</v>
      </c>
      <c r="F12" s="81">
        <f t="shared" si="1"/>
        <v>0</v>
      </c>
      <c r="G12" s="81">
        <f t="shared" si="2"/>
        <v>0</v>
      </c>
      <c r="H12" s="81">
        <f t="shared" si="5"/>
        <v>0</v>
      </c>
      <c r="I12" s="84"/>
      <c r="J12" s="81">
        <f t="shared" si="4"/>
        <v>4</v>
      </c>
    </row>
    <row r="13" spans="3:12" ht="25" thickBot="1">
      <c r="C13" s="64" t="s">
        <v>112</v>
      </c>
      <c r="D13" s="81">
        <v>4</v>
      </c>
      <c r="E13" s="81">
        <f>$K13*0.1</f>
        <v>129.18</v>
      </c>
      <c r="F13" s="81">
        <v>150</v>
      </c>
      <c r="G13" s="81">
        <f t="shared" si="2"/>
        <v>1227.2099999999998</v>
      </c>
      <c r="H13" s="81">
        <f>K13*0.25</f>
        <v>322.95</v>
      </c>
      <c r="I13" s="84">
        <v>25</v>
      </c>
      <c r="J13" s="81">
        <f t="shared" si="4"/>
        <v>1858.34</v>
      </c>
      <c r="K13" s="75">
        <f>'OPTION 3'!G88+'OPTION 3'!G91+'OPTION 3'!G92+'OPTION 3'!G93+'OPTION 3'!G95+'OPTION 3'!G94</f>
        <v>1291.8</v>
      </c>
    </row>
    <row r="14" spans="3:12" ht="15" thickBot="1">
      <c r="C14" s="64" t="s">
        <v>113</v>
      </c>
      <c r="D14" s="81">
        <v>4</v>
      </c>
      <c r="E14" s="81">
        <f t="shared" si="0"/>
        <v>5</v>
      </c>
      <c r="F14" s="81">
        <v>15</v>
      </c>
      <c r="G14" s="81">
        <f t="shared" si="2"/>
        <v>95</v>
      </c>
      <c r="H14" s="81">
        <f>K14*0.25</f>
        <v>25</v>
      </c>
      <c r="I14" s="84">
        <v>20</v>
      </c>
      <c r="J14" s="81">
        <f t="shared" si="4"/>
        <v>164</v>
      </c>
      <c r="K14" s="75">
        <f>'OPTION 3'!G22+'OPTION 3'!G34</f>
        <v>100</v>
      </c>
    </row>
    <row r="15" spans="3:12" ht="15" thickBot="1">
      <c r="C15" s="64" t="s">
        <v>114</v>
      </c>
      <c r="D15" s="81">
        <v>4</v>
      </c>
      <c r="E15" s="81">
        <f t="shared" si="0"/>
        <v>8.5</v>
      </c>
      <c r="F15" s="81">
        <v>50</v>
      </c>
      <c r="G15" s="81">
        <f t="shared" si="2"/>
        <v>161.5</v>
      </c>
      <c r="H15" s="81">
        <f>K15*0.25</f>
        <v>42.5</v>
      </c>
      <c r="I15" s="84">
        <v>30</v>
      </c>
      <c r="J15" s="81">
        <f t="shared" si="4"/>
        <v>296.5</v>
      </c>
      <c r="K15">
        <f>'OPTION 3'!G104+'OPTION 3'!G108</f>
        <v>170</v>
      </c>
      <c r="L15" s="82"/>
    </row>
    <row r="16" spans="3:12" ht="15" thickBot="1">
      <c r="C16" s="64" t="s">
        <v>115</v>
      </c>
      <c r="D16" s="81">
        <f t="shared" ref="D16:I16" si="6">SUM(D5:D15)*0.1</f>
        <v>4.5</v>
      </c>
      <c r="E16" s="81">
        <f t="shared" si="6"/>
        <v>50.385000000000005</v>
      </c>
      <c r="F16" s="81">
        <f t="shared" si="6"/>
        <v>104.07400000000001</v>
      </c>
      <c r="G16" s="81">
        <f t="shared" si="6"/>
        <v>1120.95236</v>
      </c>
      <c r="H16" s="81">
        <f t="shared" si="6"/>
        <v>281.38</v>
      </c>
      <c r="I16" s="81">
        <f t="shared" si="6"/>
        <v>41</v>
      </c>
      <c r="J16" s="85">
        <f>SUM(J5:J15)*0.1</f>
        <v>1602.2913600000002</v>
      </c>
    </row>
    <row r="17" spans="3:14" ht="16" thickTop="1" thickBot="1">
      <c r="C17" s="67" t="s">
        <v>116</v>
      </c>
      <c r="D17" s="86">
        <f t="shared" ref="D17:H17" si="7">SUM(D5:D16)</f>
        <v>49.5</v>
      </c>
      <c r="E17" s="86">
        <f t="shared" si="7"/>
        <v>554.23500000000001</v>
      </c>
      <c r="F17" s="86">
        <f t="shared" si="7"/>
        <v>1144.8140000000001</v>
      </c>
      <c r="G17" s="86">
        <f t="shared" si="7"/>
        <v>12330.475959999998</v>
      </c>
      <c r="H17" s="86">
        <f t="shared" si="7"/>
        <v>3095.18</v>
      </c>
      <c r="I17" s="86">
        <f>SUM(I5:I16)</f>
        <v>451</v>
      </c>
      <c r="J17" s="87">
        <f>SUM(J5:J16)</f>
        <v>17625.204959999999</v>
      </c>
      <c r="K17" s="75">
        <f>SUM(K5:K15)</f>
        <v>12074.599999999999</v>
      </c>
      <c r="L17" s="75">
        <f>'OPTION 3'!G117</f>
        <v>12074.6</v>
      </c>
      <c r="M17" s="83"/>
      <c r="N17" s="75"/>
    </row>
    <row r="18" spans="3:14" ht="15" thickBot="1">
      <c r="C18" s="68"/>
      <c r="D18" s="89"/>
      <c r="E18" s="89"/>
      <c r="F18" s="89"/>
      <c r="G18" s="89"/>
      <c r="H18" s="89"/>
      <c r="I18" s="90"/>
      <c r="J18" s="91"/>
    </row>
    <row r="19" spans="3:14" ht="26" thickTop="1" thickBot="1">
      <c r="C19" s="64" t="s">
        <v>117</v>
      </c>
      <c r="D19" s="69">
        <v>1</v>
      </c>
      <c r="E19" s="69">
        <v>4</v>
      </c>
      <c r="F19" s="69">
        <v>11</v>
      </c>
      <c r="G19" s="69">
        <v>7</v>
      </c>
      <c r="H19" s="69">
        <v>12</v>
      </c>
      <c r="I19" s="70">
        <v>3</v>
      </c>
      <c r="J19" s="71">
        <f>SUM(D19:I19)</f>
        <v>38</v>
      </c>
    </row>
    <row r="20" spans="3:14" ht="25" thickBot="1">
      <c r="C20" s="68" t="s">
        <v>121</v>
      </c>
      <c r="D20" s="92">
        <f>D17</f>
        <v>49.5</v>
      </c>
      <c r="E20" s="92">
        <v>500</v>
      </c>
      <c r="F20" s="92">
        <v>1060</v>
      </c>
      <c r="G20" s="92">
        <v>750</v>
      </c>
      <c r="H20" s="92">
        <v>1200</v>
      </c>
      <c r="I20" s="93">
        <v>390</v>
      </c>
      <c r="J20" s="94">
        <f>SUM(D20:I20)</f>
        <v>3949.5</v>
      </c>
    </row>
    <row r="21" spans="3:14" ht="15" thickTop="1"/>
    <row r="22" spans="3:14" ht="15" thickBot="1">
      <c r="D22">
        <f t="shared" ref="D22:J22" si="8">D20/62.5</f>
        <v>0.79200000000000004</v>
      </c>
      <c r="E22">
        <f t="shared" si="8"/>
        <v>8</v>
      </c>
      <c r="F22">
        <f t="shared" si="8"/>
        <v>16.96</v>
      </c>
      <c r="G22">
        <f t="shared" si="8"/>
        <v>12</v>
      </c>
      <c r="H22">
        <f t="shared" si="8"/>
        <v>19.2</v>
      </c>
      <c r="I22">
        <f t="shared" si="8"/>
        <v>6.24</v>
      </c>
      <c r="J22">
        <f t="shared" si="8"/>
        <v>63.192</v>
      </c>
    </row>
    <row r="23" spans="3:14" ht="37" thickBot="1">
      <c r="D23" s="72" t="s">
        <v>97</v>
      </c>
      <c r="E23" s="64" t="s">
        <v>98</v>
      </c>
      <c r="F23" s="64" t="s">
        <v>99</v>
      </c>
      <c r="G23" s="64" t="s">
        <v>100</v>
      </c>
      <c r="H23" s="64" t="s">
        <v>101</v>
      </c>
      <c r="I23" s="65" t="s">
        <v>102</v>
      </c>
      <c r="J23" s="66" t="s">
        <v>103</v>
      </c>
    </row>
    <row r="24" spans="3:14" ht="15" thickBot="1">
      <c r="C24" s="73" t="s">
        <v>118</v>
      </c>
      <c r="D24" s="74">
        <f>D17/$J$17</f>
        <v>2.808477978686723E-3</v>
      </c>
      <c r="E24" s="74">
        <f t="shared" ref="E24:J24" si="9">E17/$J$17</f>
        <v>3.144559176802901E-2</v>
      </c>
      <c r="F24" s="74">
        <f t="shared" si="9"/>
        <v>6.4953230478631566E-2</v>
      </c>
      <c r="G24" s="74">
        <f t="shared" si="9"/>
        <v>0.69959333738153584</v>
      </c>
      <c r="H24" s="74">
        <f t="shared" si="9"/>
        <v>0.17561100747619335</v>
      </c>
      <c r="I24" s="74">
        <f t="shared" si="9"/>
        <v>2.5588354916923475E-2</v>
      </c>
      <c r="J24" s="74">
        <f t="shared" si="9"/>
        <v>1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12M€</vt:lpstr>
      <vt:lpstr>SSR costing 12M€</vt:lpstr>
      <vt:lpstr>OPTION 2</vt:lpstr>
      <vt:lpstr>SSR costing OPT2</vt:lpstr>
      <vt:lpstr>OPTION 3</vt:lpstr>
      <vt:lpstr>SSR costing OPT3</vt:lpstr>
      <vt:lpstr>Sheet3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Fresco, Lorenzo (-,RAL,ISIS)</dc:creator>
  <cp:lastModifiedBy>ESS User</cp:lastModifiedBy>
  <dcterms:created xsi:type="dcterms:W3CDTF">2016-10-11T14:16:20Z</dcterms:created>
  <dcterms:modified xsi:type="dcterms:W3CDTF">2016-10-17T12:17:27Z</dcterms:modified>
</cp:coreProperties>
</file>