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40" yWindow="0" windowWidth="25040" windowHeight="14020" tabRatio="500" firstSheet="1" activeTab="1"/>
  </bookViews>
  <sheets>
    <sheet name="SKADI Full Scope" sheetId="1" state="hidden" r:id="rId1"/>
    <sheet name="SKADI - AGREED SCOPE" sheetId="4" r:id="rId2"/>
    <sheet name="Shielding" sheetId="5" r:id="rId3"/>
    <sheet name="Neutron Optics" sheetId="6" r:id="rId4"/>
    <sheet name="Choppers" sheetId="7" r:id="rId5"/>
    <sheet name="Sample Environment" sheetId="8" r:id="rId6"/>
    <sheet name="DetectorsBeamMonitors" sheetId="9" r:id="rId7"/>
    <sheet name="DAQ" sheetId="10" r:id="rId8"/>
    <sheet name="MCA" sheetId="11" r:id="rId9"/>
    <sheet name="SpecificTechEquipment" sheetId="12" r:id="rId10"/>
    <sheet name="Infrastructure" sheetId="13" r:id="rId11"/>
    <sheet name="Vacuum" sheetId="14" r:id="rId12"/>
    <sheet name="PSS" sheetId="15" r:id="rId1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D10" i="4"/>
  <c r="E10" i="4"/>
  <c r="F10" i="4"/>
  <c r="G10" i="4"/>
  <c r="C10" i="4"/>
  <c r="D9" i="4"/>
  <c r="E9" i="4"/>
  <c r="F9" i="4"/>
  <c r="G9" i="4"/>
  <c r="C9" i="4"/>
  <c r="D6" i="11"/>
  <c r="E6" i="11"/>
  <c r="F6" i="11"/>
  <c r="G6" i="11"/>
  <c r="D5" i="11"/>
  <c r="E5" i="11"/>
  <c r="F5" i="11"/>
  <c r="G5" i="11"/>
  <c r="C5" i="11"/>
  <c r="C6" i="11"/>
  <c r="E7" i="4"/>
  <c r="F7" i="4"/>
  <c r="G7" i="4"/>
  <c r="D7" i="4"/>
  <c r="C7" i="4"/>
  <c r="E6" i="9"/>
  <c r="F6" i="9"/>
  <c r="G6" i="9"/>
  <c r="E5" i="9"/>
  <c r="F5" i="9"/>
  <c r="G5" i="9"/>
  <c r="D5" i="9"/>
  <c r="D6" i="9"/>
  <c r="D6" i="4"/>
  <c r="E6" i="4"/>
  <c r="F6" i="4"/>
  <c r="G6" i="4"/>
  <c r="C6" i="4"/>
  <c r="D6" i="8"/>
  <c r="E6" i="8"/>
  <c r="F6" i="8"/>
  <c r="G6" i="8"/>
  <c r="C6" i="8"/>
  <c r="D5" i="8"/>
  <c r="E5" i="8"/>
  <c r="F5" i="8"/>
  <c r="G5" i="8"/>
  <c r="C5" i="8"/>
  <c r="F5" i="4"/>
  <c r="E5" i="4"/>
  <c r="F5" i="7"/>
  <c r="E6" i="7"/>
  <c r="E5" i="7"/>
  <c r="D5" i="7"/>
  <c r="D6" i="7"/>
  <c r="D5" i="4"/>
  <c r="F6" i="7"/>
  <c r="G5" i="4"/>
  <c r="C5" i="4"/>
  <c r="D4" i="4"/>
  <c r="E4" i="4"/>
  <c r="F4" i="4"/>
  <c r="G4" i="4"/>
  <c r="C4" i="4"/>
  <c r="D3" i="4"/>
  <c r="E3" i="4"/>
  <c r="F3" i="4"/>
  <c r="G3" i="4"/>
  <c r="C3" i="4"/>
  <c r="D6" i="5"/>
  <c r="E6" i="5"/>
  <c r="F6" i="5"/>
  <c r="G6" i="5"/>
  <c r="H6" i="5"/>
  <c r="C6" i="5"/>
  <c r="D5" i="5"/>
  <c r="E5" i="5"/>
  <c r="F5" i="5"/>
  <c r="G5" i="5"/>
  <c r="H5" i="5"/>
  <c r="C5" i="5"/>
  <c r="E3" i="8"/>
  <c r="H11" i="4"/>
  <c r="H17" i="4"/>
  <c r="F4" i="9"/>
  <c r="F3" i="9"/>
  <c r="H5" i="4"/>
  <c r="H3" i="5"/>
  <c r="H3" i="4"/>
  <c r="F4" i="5"/>
  <c r="E4" i="5"/>
  <c r="H4" i="5"/>
  <c r="D4" i="5"/>
  <c r="C4" i="5"/>
  <c r="E4" i="11"/>
  <c r="H4" i="11"/>
  <c r="H5" i="11"/>
  <c r="H6" i="11"/>
  <c r="H9" i="4"/>
  <c r="H3" i="11"/>
  <c r="G4" i="11"/>
  <c r="F4" i="11"/>
  <c r="D4" i="11"/>
  <c r="C4" i="11"/>
  <c r="E3" i="11"/>
  <c r="H4" i="9"/>
  <c r="G4" i="9"/>
  <c r="E4" i="9"/>
  <c r="D4" i="9"/>
  <c r="E3" i="9"/>
  <c r="F4" i="8"/>
  <c r="G4" i="6"/>
  <c r="F4" i="6"/>
  <c r="E4" i="6"/>
  <c r="D4" i="6"/>
  <c r="C4" i="6"/>
  <c r="H10" i="4"/>
  <c r="H3" i="9"/>
  <c r="H5" i="9"/>
  <c r="H6" i="9"/>
  <c r="H7" i="4"/>
  <c r="H3" i="8"/>
  <c r="H4" i="8"/>
  <c r="H5" i="8"/>
  <c r="H6" i="8"/>
  <c r="H6" i="4"/>
  <c r="H4" i="6"/>
  <c r="H3" i="6"/>
  <c r="H5" i="6"/>
  <c r="H6" i="6"/>
  <c r="H4" i="4"/>
  <c r="B5" i="12"/>
  <c r="C5" i="12"/>
  <c r="D5" i="12"/>
  <c r="E5" i="12"/>
  <c r="F5" i="12"/>
  <c r="G5" i="12"/>
  <c r="D6" i="12"/>
  <c r="E6" i="12"/>
  <c r="F6" i="12"/>
  <c r="C6" i="12"/>
  <c r="E3" i="12"/>
  <c r="E4" i="12"/>
  <c r="D4" i="12"/>
  <c r="G4" i="12"/>
  <c r="F4" i="12"/>
  <c r="C4" i="12"/>
  <c r="G4" i="8"/>
  <c r="E4" i="8"/>
  <c r="D4" i="8"/>
  <c r="C4" i="8"/>
  <c r="G5" i="6"/>
  <c r="D5" i="6"/>
  <c r="E5" i="6"/>
  <c r="F5" i="6"/>
  <c r="C5" i="6"/>
  <c r="G6" i="6"/>
  <c r="D6" i="6"/>
  <c r="E6" i="6"/>
  <c r="F6" i="6"/>
  <c r="C6" i="6"/>
  <c r="E3" i="6"/>
  <c r="H4" i="12"/>
  <c r="H3" i="12"/>
  <c r="H5" i="12"/>
  <c r="H6" i="12"/>
  <c r="H14" i="4"/>
  <c r="C6" i="7"/>
  <c r="G6" i="7"/>
  <c r="H6" i="7"/>
  <c r="B6" i="7"/>
  <c r="F4" i="7"/>
  <c r="H4" i="7"/>
  <c r="H3" i="7"/>
  <c r="H5" i="7"/>
  <c r="G6" i="15"/>
  <c r="B6" i="15"/>
  <c r="B6" i="14"/>
  <c r="B6" i="13"/>
  <c r="G6" i="12"/>
  <c r="B6" i="12"/>
  <c r="B6" i="11"/>
  <c r="G5" i="10"/>
  <c r="B5" i="10"/>
  <c r="B6" i="8"/>
  <c r="B6" i="6"/>
  <c r="H15" i="4"/>
  <c r="H14" i="1"/>
  <c r="H12" i="1"/>
  <c r="H8" i="1"/>
  <c r="H10" i="1"/>
  <c r="H15" i="1"/>
  <c r="B15" i="1"/>
  <c r="G15" i="1"/>
</calcChain>
</file>

<file path=xl/sharedStrings.xml><?xml version="1.0" encoding="utf-8"?>
<sst xmlns="http://schemas.openxmlformats.org/spreadsheetml/2006/main" count="243" uniqueCount="66">
  <si>
    <t>03 Design</t>
  </si>
  <si>
    <t>04 Procurement &amp; Fabrication</t>
  </si>
  <si>
    <t>05 Installation</t>
  </si>
  <si>
    <t>06 Cold Commissioning</t>
  </si>
  <si>
    <t>Total</t>
  </si>
  <si>
    <t>01 Shielding</t>
  </si>
  <si>
    <t>02 Neutron Optics</t>
  </si>
  <si>
    <t>03 Choppers</t>
  </si>
  <si>
    <t>04 Sample Environment</t>
  </si>
  <si>
    <t>05 Detector and Beam Monitors</t>
  </si>
  <si>
    <t>06 Data Acquisition and Analysis</t>
  </si>
  <si>
    <t>07 Motion Control and Automation</t>
  </si>
  <si>
    <t>08 Instrument Specific Technical Equipment</t>
  </si>
  <si>
    <t>09 Instrument Infrastructure</t>
  </si>
  <si>
    <t>10 Vacuum</t>
  </si>
  <si>
    <t>11 PSS</t>
  </si>
  <si>
    <t>01 Phase 1</t>
  </si>
  <si>
    <t>02 Project Management &amp; Integration</t>
  </si>
  <si>
    <t>12 Contingency</t>
  </si>
  <si>
    <t>Labour included in above (Person-Years)</t>
  </si>
  <si>
    <t>Material</t>
  </si>
  <si>
    <t>Labour</t>
  </si>
  <si>
    <t>Contingency</t>
  </si>
  <si>
    <t>This is for a single Chopper</t>
  </si>
  <si>
    <t>ESS</t>
  </si>
  <si>
    <t>3PM</t>
  </si>
  <si>
    <t>13PM engineer</t>
  </si>
  <si>
    <t>22 PM Tecb</t>
  </si>
  <si>
    <t>8.5 Eng</t>
  </si>
  <si>
    <t>Engineer Month</t>
  </si>
  <si>
    <t>Technician Month</t>
  </si>
  <si>
    <t>Technician month</t>
  </si>
  <si>
    <t>1PM Eng</t>
  </si>
  <si>
    <t>3 PM Tech</t>
  </si>
  <si>
    <t>3PM Tech</t>
  </si>
  <si>
    <t>1 PM Eng</t>
  </si>
  <si>
    <t>4PM Eng</t>
  </si>
  <si>
    <t>12 PM Tech</t>
  </si>
  <si>
    <t>18 PM Tech</t>
  </si>
  <si>
    <t>100 k Shielding of Hutch on Top</t>
  </si>
  <si>
    <t>25 k Computerequipment</t>
  </si>
  <si>
    <t>25 k sample preparation equipment</t>
  </si>
  <si>
    <t>25 k Hutch</t>
  </si>
  <si>
    <t>75 k Cables/hoses/connections along the instrument (1.5 k€/m of Instrument)</t>
  </si>
  <si>
    <t>34PM  tech</t>
  </si>
  <si>
    <t>73 PM Tech</t>
  </si>
  <si>
    <t>12.5 PM Tech</t>
  </si>
  <si>
    <t>Engineer</t>
  </si>
  <si>
    <t>Technician</t>
  </si>
  <si>
    <t>5PM</t>
  </si>
  <si>
    <t>2PM</t>
  </si>
  <si>
    <t>19PM</t>
  </si>
  <si>
    <t>4PM</t>
  </si>
  <si>
    <t>5 Heat Exchangers @ 15k€</t>
  </si>
  <si>
    <t>6PM</t>
  </si>
  <si>
    <t>8PM</t>
  </si>
  <si>
    <t>9PM</t>
  </si>
  <si>
    <t>from SoNDe</t>
  </si>
  <si>
    <t>2.25PM</t>
  </si>
  <si>
    <t>1.08PM</t>
  </si>
  <si>
    <t>40PM</t>
  </si>
  <si>
    <t>3.6PM</t>
  </si>
  <si>
    <t>4.5PM</t>
  </si>
  <si>
    <t>13PM</t>
  </si>
  <si>
    <t>Crane 56 k€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</si>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</sst>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"/>
    <numFmt numFmtId="165" formatCode="[$€-2]\ #,##0.00"/>
  </numFmts>
  <fonts count="14" x14ac:knownFonts="1">
    <font>
      <sz val="12"/>
      <color theme="1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Calibri"/>
    </font>
    <font>
      <sz val="9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rgb="FF000000"/>
      <name val="Calibri"/>
      <scheme val="minor"/>
    </font>
    <font>
      <sz val="9"/>
      <color rgb="FF000000"/>
      <name val="Calibri"/>
      <scheme val="minor"/>
    </font>
    <font>
      <sz val="13"/>
      <color theme="1"/>
      <name val="Arial"/>
    </font>
    <font>
      <i/>
      <sz val="14.4"/>
      <color rgb="FF000000"/>
      <name val="Calibri"/>
    </font>
    <font>
      <sz val="14.4"/>
      <color rgb="FF000000"/>
      <name val="Calibri"/>
    </font>
    <font>
      <b/>
      <sz val="13"/>
      <color theme="1"/>
      <name val="Arial"/>
    </font>
    <font>
      <b/>
      <sz val="12"/>
      <color theme="1"/>
      <name val="Calibri"/>
      <family val="2"/>
      <scheme val="minor"/>
    </font>
    <font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double">
        <color auto="1"/>
      </right>
      <top/>
      <bottom style="medium">
        <color rgb="FF000000"/>
      </bottom>
      <diagonal/>
    </border>
    <border>
      <left style="double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auto="1"/>
      </bottom>
      <diagonal/>
    </border>
  </borders>
  <cellStyleXfs count="1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21" xfId="0" applyBorder="1"/>
    <xf numFmtId="165" fontId="1" fillId="0" borderId="16" xfId="0" applyNumberFormat="1" applyFont="1" applyBorder="1" applyAlignment="1">
      <alignment horizontal="right" vertical="center" wrapText="1"/>
    </xf>
    <xf numFmtId="164" fontId="3" fillId="0" borderId="2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164" fontId="7" fillId="0" borderId="16" xfId="0" applyNumberFormat="1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26" xfId="0" applyFont="1" applyBorder="1" applyAlignment="1">
      <alignment wrapText="1"/>
    </xf>
    <xf numFmtId="18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12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" fontId="6" fillId="0" borderId="3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wrapText="1"/>
    </xf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right" wrapText="1"/>
    </xf>
    <xf numFmtId="164" fontId="0" fillId="0" borderId="0" xfId="0" applyNumberFormat="1"/>
    <xf numFmtId="165" fontId="13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13" fillId="0" borderId="28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13" fillId="0" borderId="11" xfId="0" applyNumberFormat="1" applyFont="1" applyBorder="1" applyAlignment="1">
      <alignment vertical="center" wrapText="1"/>
    </xf>
    <xf numFmtId="165" fontId="7" fillId="0" borderId="12" xfId="0" applyNumberFormat="1" applyFont="1" applyBorder="1" applyAlignment="1">
      <alignment horizontal="right" vertical="center" wrapText="1"/>
    </xf>
    <xf numFmtId="165" fontId="6" fillId="0" borderId="11" xfId="0" applyNumberFormat="1" applyFont="1" applyBorder="1" applyAlignment="1">
      <alignment horizontal="right" vertical="center" wrapText="1"/>
    </xf>
    <xf numFmtId="165" fontId="13" fillId="0" borderId="16" xfId="0" applyNumberFormat="1" applyFont="1" applyBorder="1" applyAlignment="1">
      <alignment vertical="center" wrapText="1"/>
    </xf>
    <xf numFmtId="165" fontId="7" fillId="0" borderId="16" xfId="0" applyNumberFormat="1" applyFont="1" applyBorder="1" applyAlignment="1">
      <alignment horizontal="right" vertical="center" wrapText="1"/>
    </xf>
    <xf numFmtId="165" fontId="7" fillId="0" borderId="17" xfId="0" applyNumberFormat="1" applyFont="1" applyBorder="1" applyAlignment="1">
      <alignment horizontal="right" vertical="center" wrapText="1"/>
    </xf>
    <xf numFmtId="165" fontId="6" fillId="0" borderId="13" xfId="0" applyNumberFormat="1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165" fontId="6" fillId="0" borderId="20" xfId="0" applyNumberFormat="1" applyFont="1" applyBorder="1" applyAlignment="1">
      <alignment horizontal="right" vertical="center" wrapText="1"/>
    </xf>
    <xf numFmtId="165" fontId="13" fillId="0" borderId="21" xfId="0" applyNumberFormat="1" applyFont="1" applyBorder="1"/>
  </cellXfs>
  <cellStyles count="1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50" zoomScaleNormal="150" zoomScalePageLayoutView="150" workbookViewId="0">
      <selection activeCell="H17" sqref="A1:H17"/>
    </sheetView>
  </sheetViews>
  <sheetFormatPr baseColWidth="10" defaultRowHeight="15" x14ac:dyDescent="0"/>
  <cols>
    <col min="1" max="1" width="17.6640625" customWidth="1"/>
    <col min="2" max="2" width="8.33203125" customWidth="1"/>
    <col min="4" max="4" width="8.1640625" customWidth="1"/>
    <col min="5" max="5" width="9.1640625" customWidth="1"/>
    <col min="6" max="6" width="9.33203125" customWidth="1"/>
    <col min="7" max="7" width="10.1640625" customWidth="1"/>
    <col min="8" max="8" width="10" customWidth="1"/>
  </cols>
  <sheetData>
    <row r="1" spans="1:8">
      <c r="A1" s="51"/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5</v>
      </c>
      <c r="B3" s="5">
        <v>0</v>
      </c>
      <c r="C3" s="6"/>
      <c r="D3" s="6"/>
      <c r="E3" s="6"/>
      <c r="F3" s="6"/>
      <c r="G3" s="7"/>
      <c r="H3" s="8">
        <v>4080000</v>
      </c>
    </row>
    <row r="4" spans="1:8" ht="16" thickBot="1">
      <c r="A4" s="1" t="s">
        <v>6</v>
      </c>
      <c r="B4" s="5">
        <v>0</v>
      </c>
      <c r="C4" s="6"/>
      <c r="D4" s="6"/>
      <c r="E4" s="6"/>
      <c r="F4" s="6"/>
      <c r="G4" s="7"/>
      <c r="H4" s="8">
        <v>1480000</v>
      </c>
    </row>
    <row r="5" spans="1:8" ht="16" thickBot="1">
      <c r="A5" s="1" t="s">
        <v>7</v>
      </c>
      <c r="B5" s="5">
        <v>0</v>
      </c>
      <c r="C5" s="6"/>
      <c r="D5" s="6"/>
      <c r="E5" s="6"/>
      <c r="F5" s="6"/>
      <c r="G5" s="7"/>
      <c r="H5" s="8">
        <v>720000</v>
      </c>
    </row>
    <row r="6" spans="1:8" ht="16" customHeight="1" thickBot="1">
      <c r="A6" s="1" t="s">
        <v>8</v>
      </c>
      <c r="B6" s="5">
        <v>0</v>
      </c>
      <c r="C6" s="6"/>
      <c r="D6" s="6"/>
      <c r="E6" s="6"/>
      <c r="F6" s="6"/>
      <c r="G6" s="7"/>
      <c r="H6" s="8">
        <v>500000</v>
      </c>
    </row>
    <row r="7" spans="1:8" ht="25" thickBot="1">
      <c r="A7" s="1" t="s">
        <v>9</v>
      </c>
      <c r="B7" s="5">
        <v>0</v>
      </c>
      <c r="C7" s="6"/>
      <c r="D7" s="6"/>
      <c r="E7" s="6"/>
      <c r="F7" s="6"/>
      <c r="G7" s="7"/>
      <c r="H7" s="8">
        <v>3860000</v>
      </c>
    </row>
    <row r="8" spans="1:8" ht="25" thickBot="1">
      <c r="A8" s="1" t="s">
        <v>10</v>
      </c>
      <c r="B8" s="5">
        <v>0</v>
      </c>
      <c r="C8" s="6"/>
      <c r="D8" s="6"/>
      <c r="E8" s="6"/>
      <c r="F8" s="6"/>
      <c r="G8" s="7"/>
      <c r="H8" s="8">
        <f t="shared" ref="H8:H12" si="0">SUM(B8:G8)</f>
        <v>0</v>
      </c>
    </row>
    <row r="9" spans="1:8" ht="25" thickBot="1">
      <c r="A9" s="1" t="s">
        <v>11</v>
      </c>
      <c r="B9" s="5">
        <v>0</v>
      </c>
      <c r="C9" s="6"/>
      <c r="D9" s="6"/>
      <c r="E9" s="6"/>
      <c r="F9" s="6"/>
      <c r="G9" s="7"/>
      <c r="H9" s="8">
        <v>545200</v>
      </c>
    </row>
    <row r="10" spans="1:8" ht="25" thickBot="1">
      <c r="A10" s="1" t="s">
        <v>12</v>
      </c>
      <c r="B10" s="6">
        <v>492200</v>
      </c>
      <c r="C10" s="23"/>
      <c r="D10" s="6"/>
      <c r="E10" s="6">
        <v>830000</v>
      </c>
      <c r="F10" s="6"/>
      <c r="G10" s="7"/>
      <c r="H10" s="8">
        <f>SUM(B10:G10)</f>
        <v>1322200</v>
      </c>
    </row>
    <row r="11" spans="1:8" ht="25" thickBot="1">
      <c r="A11" s="1" t="s">
        <v>13</v>
      </c>
      <c r="B11" s="5">
        <v>0</v>
      </c>
      <c r="C11" s="6"/>
      <c r="D11" s="6"/>
      <c r="E11" s="6"/>
      <c r="F11" s="6"/>
      <c r="G11" s="7"/>
      <c r="H11" s="8">
        <v>510000</v>
      </c>
    </row>
    <row r="12" spans="1:8" ht="16" thickBot="1">
      <c r="A12" s="1" t="s">
        <v>14</v>
      </c>
      <c r="B12" s="5"/>
      <c r="C12" s="5"/>
      <c r="D12" s="6"/>
      <c r="E12" s="6"/>
      <c r="F12" s="6"/>
      <c r="G12" s="7"/>
      <c r="H12" s="8">
        <f t="shared" si="0"/>
        <v>0</v>
      </c>
    </row>
    <row r="13" spans="1:8" ht="16" thickBot="1">
      <c r="A13" s="2" t="s">
        <v>15</v>
      </c>
      <c r="B13" s="9">
        <v>0</v>
      </c>
      <c r="C13" s="10"/>
      <c r="D13" s="10"/>
      <c r="E13" s="10"/>
      <c r="F13" s="10"/>
      <c r="G13" s="11"/>
      <c r="H13" s="12">
        <v>114640</v>
      </c>
    </row>
    <row r="14" spans="1:8" ht="16" thickBot="1">
      <c r="A14" s="4" t="s">
        <v>18</v>
      </c>
      <c r="B14" s="13"/>
      <c r="C14" s="14"/>
      <c r="D14" s="14"/>
      <c r="E14" s="14"/>
      <c r="F14" s="14"/>
      <c r="G14" s="15"/>
      <c r="H14" s="24">
        <f>SUM(H3:H13)/9</f>
        <v>1459115.5555555555</v>
      </c>
    </row>
    <row r="15" spans="1:8" ht="17" thickTop="1" thickBot="1">
      <c r="A15" s="3" t="s">
        <v>4</v>
      </c>
      <c r="B15" s="16">
        <f>SUM(B3:B13)</f>
        <v>492200</v>
      </c>
      <c r="C15" s="16"/>
      <c r="D15" s="16"/>
      <c r="E15" s="16"/>
      <c r="F15" s="16"/>
      <c r="G15" s="17">
        <f>SUM(G3:G13)</f>
        <v>0</v>
      </c>
      <c r="H15" s="16">
        <f>SUM(H3:H14)</f>
        <v>14591155.555555556</v>
      </c>
    </row>
    <row r="16" spans="1:8" ht="16" thickBot="1">
      <c r="A16" s="18"/>
      <c r="B16" s="19"/>
      <c r="C16" s="19"/>
      <c r="D16" s="19"/>
      <c r="E16" s="19"/>
      <c r="F16" s="19"/>
      <c r="G16" s="20"/>
      <c r="H16" s="19"/>
    </row>
    <row r="17" spans="1:8" ht="26" thickTop="1" thickBot="1">
      <c r="A17" s="1" t="s">
        <v>19</v>
      </c>
      <c r="B17" s="21"/>
      <c r="C17" s="21"/>
      <c r="D17" s="21"/>
      <c r="E17" s="21"/>
      <c r="F17" s="21"/>
      <c r="G17" s="22"/>
      <c r="H17" s="21">
        <v>30.71</v>
      </c>
    </row>
  </sheetData>
  <mergeCells count="8">
    <mergeCell ref="H1:H2"/>
    <mergeCell ref="B1:B2"/>
    <mergeCell ref="C1:C2"/>
    <mergeCell ref="A1:A2"/>
    <mergeCell ref="D1:D2"/>
    <mergeCell ref="E1:E2"/>
    <mergeCell ref="F1:F2"/>
    <mergeCell ref="G1:G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30" zoomScaleNormal="130" zoomScalePageLayoutView="130" workbookViewId="0">
      <selection activeCell="F14" sqref="F14"/>
    </sheetView>
  </sheetViews>
  <sheetFormatPr baseColWidth="10" defaultRowHeight="15" x14ac:dyDescent="0"/>
  <cols>
    <col min="2" max="2" width="33.5" customWidth="1"/>
    <col min="3" max="3" width="11.1640625" bestFit="1" customWidth="1"/>
    <col min="4" max="6" width="12" bestFit="1" customWidth="1"/>
    <col min="7" max="8" width="11.1640625" bestFit="1" customWidth="1"/>
  </cols>
  <sheetData>
    <row r="1" spans="1:8">
      <c r="A1" s="51"/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42" customHeight="1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5</v>
      </c>
      <c r="B3" s="73"/>
      <c r="C3" s="74">
        <f>(Shielding!C6)*10/11</f>
        <v>24000</v>
      </c>
      <c r="D3" s="74">
        <f>(Shielding!D6)*10/11</f>
        <v>60000</v>
      </c>
      <c r="E3" s="74">
        <f>(Shielding!E6)*10/11</f>
        <v>1821000</v>
      </c>
      <c r="F3" s="74">
        <f>(Shielding!F6)*10/11</f>
        <v>94000</v>
      </c>
      <c r="G3" s="74">
        <f>(Shielding!G6)*10/11</f>
        <v>0</v>
      </c>
      <c r="H3" s="75">
        <f>Shielding!H6*10/11</f>
        <v>1999000</v>
      </c>
    </row>
    <row r="4" spans="1:8" ht="25" thickBot="1">
      <c r="A4" s="1" t="s">
        <v>6</v>
      </c>
      <c r="B4" s="73"/>
      <c r="C4" s="74">
        <f>'Neutron Optics'!C6*10/11</f>
        <v>318000</v>
      </c>
      <c r="D4" s="74">
        <f>'Neutron Optics'!D6*10/11</f>
        <v>502000</v>
      </c>
      <c r="E4" s="74">
        <f>'Neutron Optics'!E6*10/11</f>
        <v>2049200</v>
      </c>
      <c r="F4" s="74">
        <f>'Neutron Optics'!F6*10/11</f>
        <v>310000</v>
      </c>
      <c r="G4" s="74">
        <f>'Neutron Optics'!G6*10/11</f>
        <v>236000</v>
      </c>
      <c r="H4" s="75">
        <f>'Neutron Optics'!H6*10/11</f>
        <v>3415200</v>
      </c>
    </row>
    <row r="5" spans="1:8" ht="16" thickBot="1">
      <c r="A5" s="1" t="s">
        <v>7</v>
      </c>
      <c r="B5" s="73"/>
      <c r="C5" s="74">
        <f>Choppers!C6</f>
        <v>0</v>
      </c>
      <c r="D5" s="74">
        <f>Choppers!D6*10/11</f>
        <v>45000</v>
      </c>
      <c r="E5" s="74">
        <f>Choppers!E6*10/11</f>
        <v>130000</v>
      </c>
      <c r="F5" s="74">
        <f>Choppers!F6*10/11</f>
        <v>16870</v>
      </c>
      <c r="G5" s="74">
        <f>Choppers!G6</f>
        <v>0</v>
      </c>
      <c r="H5" s="75">
        <f>4*Choppers!H6*10/11</f>
        <v>767480</v>
      </c>
    </row>
    <row r="6" spans="1:8" ht="25" thickBot="1">
      <c r="A6" s="1" t="s">
        <v>8</v>
      </c>
      <c r="B6" s="73"/>
      <c r="C6" s="74">
        <f>'Sample Environment'!C6*10/11</f>
        <v>26000</v>
      </c>
      <c r="D6" s="74">
        <f>'Sample Environment'!D6*10/11</f>
        <v>44000</v>
      </c>
      <c r="E6" s="74">
        <f>'Sample Environment'!E6*10/11</f>
        <v>543500</v>
      </c>
      <c r="F6" s="74">
        <f>'Sample Environment'!F6*10/11</f>
        <v>127000</v>
      </c>
      <c r="G6" s="74">
        <f>'Sample Environment'!G6*10/11</f>
        <v>12000</v>
      </c>
      <c r="H6" s="75">
        <f>'Sample Environment'!H6*10/11</f>
        <v>752500</v>
      </c>
    </row>
    <row r="7" spans="1:8" ht="37" thickBot="1">
      <c r="A7" s="1" t="s">
        <v>9</v>
      </c>
      <c r="B7" s="73"/>
      <c r="C7" s="76" t="str">
        <f>DetectorsBeamMonitors!C6</f>
        <v>from SoNDe</v>
      </c>
      <c r="D7" s="74">
        <f>DetectorsBeamMonitors!D6*10/11</f>
        <v>27000</v>
      </c>
      <c r="E7" s="74">
        <f>DetectorsBeamMonitors!E6*10/11</f>
        <v>1782400</v>
      </c>
      <c r="F7" s="74">
        <f>DetectorsBeamMonitors!F6*10/11</f>
        <v>1600000</v>
      </c>
      <c r="G7" s="74">
        <f>DetectorsBeamMonitors!G6*10/11</f>
        <v>36000</v>
      </c>
      <c r="H7" s="75">
        <f>DetectorsBeamMonitors!H6*10/11</f>
        <v>3445400</v>
      </c>
    </row>
    <row r="8" spans="1:8" ht="37" thickBot="1">
      <c r="A8" s="1" t="s">
        <v>10</v>
      </c>
      <c r="B8" s="77"/>
      <c r="C8" s="89"/>
      <c r="D8" s="74"/>
      <c r="E8" s="74"/>
      <c r="F8" s="74"/>
      <c r="G8" s="78"/>
      <c r="H8" s="75" t="s">
        <v>24</v>
      </c>
    </row>
    <row r="9" spans="1:8" ht="37" thickBot="1">
      <c r="A9" s="1" t="s">
        <v>11</v>
      </c>
      <c r="B9" s="73"/>
      <c r="C9" s="74">
        <f>MCA!C6*10/11</f>
        <v>60000</v>
      </c>
      <c r="D9" s="74">
        <f>MCA!D6*10/11</f>
        <v>20000</v>
      </c>
      <c r="E9" s="74">
        <f>MCA!E6*10/11</f>
        <v>216000</v>
      </c>
      <c r="F9" s="74">
        <f>MCA!F6*10/11</f>
        <v>40000</v>
      </c>
      <c r="G9" s="74">
        <f>MCA!G6*10/11</f>
        <v>40000</v>
      </c>
      <c r="H9" s="75">
        <f>MCA!H6*10/11</f>
        <v>376000</v>
      </c>
    </row>
    <row r="10" spans="1:8" ht="49" thickBot="1">
      <c r="A10" s="1" t="s">
        <v>12</v>
      </c>
      <c r="B10" s="74"/>
      <c r="C10" s="89">
        <f>SpecificTechEquipment!C6*10/11</f>
        <v>62000</v>
      </c>
      <c r="D10" s="89">
        <f>SpecificTechEquipment!D6*10/11</f>
        <v>134000</v>
      </c>
      <c r="E10" s="89">
        <f>SpecificTechEquipment!E6*10/11</f>
        <v>434000</v>
      </c>
      <c r="F10" s="89">
        <f>SpecificTechEquipment!F6*10/11</f>
        <v>143000</v>
      </c>
      <c r="G10" s="89">
        <f>SpecificTechEquipment!G6*10/11</f>
        <v>80000</v>
      </c>
      <c r="H10" s="75">
        <f>SpecificTechEquipment!H6*10/11</f>
        <v>861000</v>
      </c>
    </row>
    <row r="11" spans="1:8" ht="25" thickBot="1">
      <c r="A11" s="1" t="s">
        <v>13</v>
      </c>
      <c r="B11" s="73"/>
      <c r="C11" s="74"/>
      <c r="D11" s="74"/>
      <c r="E11" s="74"/>
      <c r="F11" s="74"/>
      <c r="G11" s="78"/>
      <c r="H11" s="75">
        <f>325000+56000</f>
        <v>381000</v>
      </c>
    </row>
    <row r="12" spans="1:8" ht="16" thickBot="1">
      <c r="A12" s="1" t="s">
        <v>14</v>
      </c>
      <c r="B12" s="73"/>
      <c r="C12" s="73"/>
      <c r="D12" s="74"/>
      <c r="E12" s="74"/>
      <c r="F12" s="74"/>
      <c r="G12" s="78"/>
      <c r="H12" s="75" t="s">
        <v>24</v>
      </c>
    </row>
    <row r="13" spans="1:8" ht="16" thickBot="1">
      <c r="A13" s="2" t="s">
        <v>15</v>
      </c>
      <c r="B13" s="79"/>
      <c r="C13" s="76"/>
      <c r="D13" s="76"/>
      <c r="E13" s="76"/>
      <c r="F13" s="76"/>
      <c r="G13" s="80"/>
      <c r="H13" s="81">
        <v>114640</v>
      </c>
    </row>
    <row r="14" spans="1:8" ht="25" thickBot="1">
      <c r="A14" s="4" t="s">
        <v>18</v>
      </c>
      <c r="B14" s="82"/>
      <c r="C14" s="83"/>
      <c r="D14" s="83"/>
      <c r="E14" s="83"/>
      <c r="F14" s="83"/>
      <c r="G14" s="84"/>
      <c r="H14" s="34">
        <f>SUM(H3:H13)*0.1</f>
        <v>1211222</v>
      </c>
    </row>
    <row r="15" spans="1:8" ht="17" thickTop="1" thickBot="1">
      <c r="A15" s="3" t="s">
        <v>4</v>
      </c>
      <c r="B15" s="85"/>
      <c r="C15" s="85"/>
      <c r="D15" s="85"/>
      <c r="E15" s="85"/>
      <c r="F15" s="85"/>
      <c r="G15" s="86"/>
      <c r="H15" s="85">
        <f>SUM(H3:H14)</f>
        <v>13323442</v>
      </c>
    </row>
    <row r="16" spans="1:8" ht="16" thickBot="1">
      <c r="A16" s="18"/>
      <c r="B16" s="87"/>
      <c r="C16" s="87"/>
      <c r="D16" s="87"/>
      <c r="E16" s="87"/>
      <c r="F16" s="87"/>
      <c r="G16" s="88"/>
      <c r="H16" s="87"/>
    </row>
    <row r="17" spans="1:8" ht="50" thickTop="1" thickBot="1">
      <c r="A17" s="1" t="s">
        <v>19</v>
      </c>
      <c r="B17" s="21"/>
      <c r="C17" s="21">
        <f>ROUND(SUM(Shielding!C9+'Neutron Optics'!C9+4*Choppers!C9+'Sample Environment'!C9+DetectorsBeamMonitors!C9+DAQ!C8+DAQ!C9+MCA!C9+SpecificTechEquipment!C9+Infrastructure!C9+Vacuum!C9+PSS!C9)/12,1)</f>
        <v>2.1</v>
      </c>
      <c r="D17" s="21">
        <f>ROUND(SUM(Shielding!D9+'Neutron Optics'!D9+4*Choppers!D9+'Sample Environment'!D9+DetectorsBeamMonitors!D9+DAQ!D8+DAQ!D9+MCA!D9+SpecificTechEquipment!D9+Infrastructure!D9+Vacuum!D9+PSS!D9)/12,2)</f>
        <v>6.44</v>
      </c>
      <c r="E17" s="21">
        <f>ROUND(SUM(Shielding!E9+'Neutron Optics'!E9+4*Choppers!E9+'Sample Environment'!E9+DetectorsBeamMonitors!E9+DAQ!E8+DAQ!E9+MCA!E9+SpecificTechEquipment!E9+Infrastructure!E9+Vacuum!E9+PSS!E9)/12,2)</f>
        <v>11.17</v>
      </c>
      <c r="F17" s="21">
        <f>ROUND(SUM(Shielding!F9+'Neutron Optics'!F9+4*Choppers!F9+'Sample Environment'!F9+DetectorsBeamMonitors!F9+DAQ!F8+DAQ!F9+MCA!F9+SpecificTechEquipment!F9+Infrastructure!F9+Vacuum!F9+PSS!F9)/12,2)</f>
        <v>12.63</v>
      </c>
      <c r="G17" s="21">
        <f>ROUND(SUM(Shielding!G9+'Neutron Optics'!G9+4*Choppers!G9+'Sample Environment'!G9+DetectorsBeamMonitors!G9+DAQ!G8+DAQ!G9+MCA!G9+SpecificTechEquipment!G9+Infrastructure!G9+Vacuum!G9+PSS!G9)/12,2)</f>
        <v>1.76</v>
      </c>
      <c r="H17" s="21">
        <f>ROUND((Shielding!H8+'Neutron Optics'!H8+4*Choppers!H8+'Sample Environment'!H8+DetectorsBeamMonitors!H8+MCA!H8+SpecificTechEquipment!H8)/12,0)</f>
        <v>34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0" sqref="G10"/>
    </sheetView>
  </sheetViews>
  <sheetFormatPr baseColWidth="10" defaultColWidth="27.33203125" defaultRowHeight="15" x14ac:dyDescent="0"/>
  <sheetData>
    <row r="1" spans="1:8" ht="20" customHeight="1">
      <c r="A1" s="59" t="s">
        <v>5</v>
      </c>
      <c r="B1" s="61" t="s">
        <v>16</v>
      </c>
      <c r="C1" s="61" t="s">
        <v>17</v>
      </c>
      <c r="D1" s="61" t="s">
        <v>0</v>
      </c>
      <c r="E1" s="61" t="s">
        <v>1</v>
      </c>
      <c r="F1" s="61" t="s">
        <v>2</v>
      </c>
      <c r="G1" s="55" t="s">
        <v>3</v>
      </c>
      <c r="H1" s="57" t="s">
        <v>4</v>
      </c>
    </row>
    <row r="2" spans="1:8" ht="16" thickBot="1">
      <c r="A2" s="60"/>
      <c r="B2" s="62"/>
      <c r="C2" s="62"/>
      <c r="D2" s="62"/>
      <c r="E2" s="62"/>
      <c r="F2" s="62"/>
      <c r="G2" s="56"/>
      <c r="H2" s="58"/>
    </row>
    <row r="3" spans="1:8" ht="16" thickBot="1">
      <c r="A3" s="26" t="s">
        <v>20</v>
      </c>
      <c r="B3" s="27">
        <v>0</v>
      </c>
      <c r="C3" s="28"/>
      <c r="D3" s="28"/>
      <c r="E3" s="28">
        <v>1739000</v>
      </c>
      <c r="F3" s="28"/>
      <c r="G3" s="29"/>
      <c r="H3" s="30">
        <f>SUM(C3:G3)</f>
        <v>1739000</v>
      </c>
    </row>
    <row r="4" spans="1:8" ht="16" thickBot="1">
      <c r="A4" s="26" t="s">
        <v>21</v>
      </c>
      <c r="B4" s="27">
        <v>0</v>
      </c>
      <c r="C4" s="28">
        <f>2*D17</f>
        <v>24000</v>
      </c>
      <c r="D4" s="28">
        <f>6*D18</f>
        <v>60000</v>
      </c>
      <c r="E4" s="28">
        <f>1*D17+7*D18</f>
        <v>82000</v>
      </c>
      <c r="F4" s="28">
        <f>2*D17+7*D18</f>
        <v>94000</v>
      </c>
      <c r="G4" s="29"/>
      <c r="H4" s="30">
        <f>SUM(C4:G4)</f>
        <v>260000</v>
      </c>
    </row>
    <row r="5" spans="1:8" ht="16" thickBot="1">
      <c r="A5" s="31" t="s">
        <v>18</v>
      </c>
      <c r="B5" s="32"/>
      <c r="C5" s="33">
        <f>0.1*SUM(C3:C4)</f>
        <v>2400</v>
      </c>
      <c r="D5" s="33">
        <f t="shared" ref="D5:H5" si="0">0.1*SUM(D3:D4)</f>
        <v>6000</v>
      </c>
      <c r="E5" s="33">
        <f t="shared" si="0"/>
        <v>182100</v>
      </c>
      <c r="F5" s="33">
        <f t="shared" si="0"/>
        <v>9400</v>
      </c>
      <c r="G5" s="33">
        <f t="shared" si="0"/>
        <v>0</v>
      </c>
      <c r="H5" s="33">
        <f t="shared" si="0"/>
        <v>199900</v>
      </c>
    </row>
    <row r="6" spans="1:8" ht="17" thickTop="1" thickBot="1">
      <c r="A6" s="26" t="s">
        <v>4</v>
      </c>
      <c r="B6" s="30"/>
      <c r="C6" s="30">
        <f>SUM(C3:C5)</f>
        <v>26400</v>
      </c>
      <c r="D6" s="30">
        <f t="shared" ref="D6:H6" si="1">SUM(D3:D5)</f>
        <v>66000</v>
      </c>
      <c r="E6" s="30">
        <f t="shared" si="1"/>
        <v>2003100</v>
      </c>
      <c r="F6" s="30">
        <f t="shared" si="1"/>
        <v>103400</v>
      </c>
      <c r="G6" s="30">
        <f t="shared" si="1"/>
        <v>0</v>
      </c>
      <c r="H6" s="30">
        <f t="shared" si="1"/>
        <v>2198900</v>
      </c>
    </row>
    <row r="7" spans="1:8" ht="16" thickBot="1">
      <c r="A7" s="35"/>
      <c r="B7" s="36"/>
      <c r="C7" s="36"/>
      <c r="D7" s="36"/>
      <c r="E7" s="36"/>
      <c r="F7" s="36"/>
      <c r="G7" s="37"/>
      <c r="H7" s="36"/>
    </row>
    <row r="8" spans="1:8" ht="17" thickTop="1" thickBot="1">
      <c r="A8" s="26" t="s">
        <v>19</v>
      </c>
      <c r="B8" s="38"/>
      <c r="C8" s="65" t="s">
        <v>50</v>
      </c>
      <c r="D8" s="38" t="s">
        <v>54</v>
      </c>
      <c r="E8" s="38" t="s">
        <v>55</v>
      </c>
      <c r="F8" s="38" t="s">
        <v>56</v>
      </c>
      <c r="G8" s="39"/>
      <c r="H8" s="38">
        <v>25</v>
      </c>
    </row>
    <row r="9" spans="1:8">
      <c r="C9">
        <v>2</v>
      </c>
      <c r="D9">
        <v>6</v>
      </c>
      <c r="E9">
        <v>8</v>
      </c>
      <c r="F9">
        <v>9</v>
      </c>
      <c r="G9">
        <v>0</v>
      </c>
    </row>
    <row r="13" spans="1:8">
      <c r="D13" s="41"/>
    </row>
    <row r="17" spans="1:4">
      <c r="A17" s="46"/>
      <c r="C17" s="45" t="s">
        <v>47</v>
      </c>
      <c r="D17">
        <v>12000</v>
      </c>
    </row>
    <row r="18" spans="1:4">
      <c r="C18" t="s">
        <v>48</v>
      </c>
      <c r="D18">
        <v>10000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C1" workbookViewId="0">
      <selection activeCell="G10" sqref="G10"/>
    </sheetView>
  </sheetViews>
  <sheetFormatPr baseColWidth="10" defaultColWidth="32.83203125" defaultRowHeight="15" x14ac:dyDescent="0"/>
  <sheetData>
    <row r="1" spans="1:8" ht="25" customHeight="1">
      <c r="A1" s="63" t="s">
        <v>6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64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>
        <v>150000</v>
      </c>
      <c r="D3" s="6">
        <v>150000</v>
      </c>
      <c r="E3" s="6">
        <f>110000+352000+290000+400000+95000+20200+40000</f>
        <v>1307200</v>
      </c>
      <c r="F3" s="6">
        <v>78000</v>
      </c>
      <c r="G3" s="7">
        <v>122000</v>
      </c>
      <c r="H3" s="8">
        <f>SUM(B3:G3)</f>
        <v>1807200</v>
      </c>
    </row>
    <row r="4" spans="1:8" ht="16" thickBot="1">
      <c r="A4" s="23" t="s">
        <v>21</v>
      </c>
      <c r="B4" s="25">
        <v>0</v>
      </c>
      <c r="C4">
        <f>14*B10</f>
        <v>168000</v>
      </c>
      <c r="D4">
        <f>34*B11+1*B10</f>
        <v>352000</v>
      </c>
      <c r="E4">
        <f>73*B11+1*B10</f>
        <v>742000</v>
      </c>
      <c r="F4">
        <f>22*B11+1*B10</f>
        <v>232000</v>
      </c>
      <c r="G4">
        <f>9.5*B10</f>
        <v>114000</v>
      </c>
      <c r="H4" s="8">
        <f>SUM(B4:G4)</f>
        <v>1608000</v>
      </c>
    </row>
    <row r="5" spans="1:8" ht="16" thickBot="1">
      <c r="A5" s="1" t="s">
        <v>22</v>
      </c>
      <c r="B5" s="5">
        <v>0</v>
      </c>
      <c r="C5" s="6">
        <f>SUM(C3:C4)*0.1</f>
        <v>31800</v>
      </c>
      <c r="D5" s="6">
        <f t="shared" ref="D5:F5" si="0">SUM(D3:D4)*0.1</f>
        <v>50200</v>
      </c>
      <c r="E5" s="6">
        <f t="shared" si="0"/>
        <v>204920</v>
      </c>
      <c r="F5" s="6">
        <f t="shared" si="0"/>
        <v>31000</v>
      </c>
      <c r="G5" s="6">
        <f>SUM(G3:G4)*0.1</f>
        <v>23600</v>
      </c>
      <c r="H5" s="8">
        <f>SUM(H3:H4)*0.1</f>
        <v>341520</v>
      </c>
    </row>
    <row r="6" spans="1:8" ht="17" thickTop="1" thickBot="1">
      <c r="A6" s="3" t="s">
        <v>4</v>
      </c>
      <c r="B6" s="16">
        <f>SUM(B3:B5)</f>
        <v>0</v>
      </c>
      <c r="C6" s="16">
        <f>SUM(C3:C5)</f>
        <v>349800</v>
      </c>
      <c r="D6" s="16">
        <f t="shared" ref="D6:G6" si="1">SUM(D3:D5)</f>
        <v>552200</v>
      </c>
      <c r="E6" s="16">
        <f t="shared" si="1"/>
        <v>2254120</v>
      </c>
      <c r="F6" s="16">
        <f t="shared" si="1"/>
        <v>341000</v>
      </c>
      <c r="G6" s="16">
        <f t="shared" si="1"/>
        <v>259600</v>
      </c>
      <c r="H6" s="16">
        <f>SUM(H3:H5)</f>
        <v>3756720</v>
      </c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17" thickTop="1" thickBot="1">
      <c r="A8" s="1" t="s">
        <v>19</v>
      </c>
      <c r="B8" s="21"/>
      <c r="C8" s="6" t="s">
        <v>26</v>
      </c>
      <c r="D8" s="6" t="s">
        <v>44</v>
      </c>
      <c r="E8" s="6" t="s">
        <v>45</v>
      </c>
      <c r="F8" s="6" t="s">
        <v>27</v>
      </c>
      <c r="G8" s="7" t="s">
        <v>28</v>
      </c>
      <c r="H8" s="21">
        <v>150.5</v>
      </c>
    </row>
    <row r="9" spans="1:8">
      <c r="C9">
        <v>13</v>
      </c>
      <c r="D9">
        <v>34</v>
      </c>
      <c r="E9">
        <v>73</v>
      </c>
      <c r="F9">
        <v>22</v>
      </c>
      <c r="G9">
        <v>8.5</v>
      </c>
    </row>
    <row r="10" spans="1:8">
      <c r="A10" s="42" t="s">
        <v>29</v>
      </c>
      <c r="B10">
        <v>12000</v>
      </c>
    </row>
    <row r="11" spans="1:8">
      <c r="A11" s="42" t="s">
        <v>30</v>
      </c>
      <c r="B11">
        <v>10000</v>
      </c>
    </row>
    <row r="14" spans="1:8">
      <c r="D14" s="4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190" zoomScaleNormal="190" zoomScalePageLayoutView="190" workbookViewId="0">
      <selection activeCell="H8" sqref="H8"/>
    </sheetView>
  </sheetViews>
  <sheetFormatPr baseColWidth="10" defaultRowHeight="15" x14ac:dyDescent="0"/>
  <sheetData>
    <row r="1" spans="1:10">
      <c r="A1" s="63" t="s">
        <v>7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10" ht="16" thickBot="1">
      <c r="A2" s="64"/>
      <c r="B2" s="50"/>
      <c r="C2" s="50"/>
      <c r="D2" s="50"/>
      <c r="E2" s="50"/>
      <c r="F2" s="50"/>
      <c r="G2" s="54"/>
      <c r="H2" s="48"/>
    </row>
    <row r="3" spans="1:10" ht="16" thickBot="1">
      <c r="A3" s="1" t="s">
        <v>20</v>
      </c>
      <c r="B3" s="5"/>
      <c r="C3" s="6"/>
      <c r="D3" s="6"/>
      <c r="E3" s="6">
        <v>100000</v>
      </c>
      <c r="F3" s="6">
        <v>4000</v>
      </c>
      <c r="G3" s="7"/>
      <c r="H3" s="8">
        <f>SUM(B3:G3)</f>
        <v>104000</v>
      </c>
    </row>
    <row r="4" spans="1:10" ht="16" thickBot="1">
      <c r="A4" s="1" t="s">
        <v>21</v>
      </c>
      <c r="B4" s="5"/>
      <c r="C4" s="6"/>
      <c r="D4" s="6">
        <v>45000</v>
      </c>
      <c r="E4" s="6">
        <v>30000</v>
      </c>
      <c r="F4" s="6">
        <f>5800+7070</f>
        <v>12870</v>
      </c>
      <c r="G4" s="7"/>
      <c r="H4" s="8">
        <f>SUM(B4:G4)</f>
        <v>87870</v>
      </c>
    </row>
    <row r="5" spans="1:10" ht="25" thickBot="1">
      <c r="A5" s="4" t="s">
        <v>18</v>
      </c>
      <c r="B5" s="13"/>
      <c r="C5" s="14"/>
      <c r="D5" s="14">
        <f>SUM(D3:D4)*0.1</f>
        <v>4500</v>
      </c>
      <c r="E5" s="14">
        <f>SUM(E3:E4)*0.1</f>
        <v>13000</v>
      </c>
      <c r="F5" s="14">
        <f>SUM(F3:F4)*0.1</f>
        <v>1687</v>
      </c>
      <c r="G5" s="15"/>
      <c r="H5" s="24">
        <f>SUM(H3:H4)*0.1</f>
        <v>19187</v>
      </c>
    </row>
    <row r="6" spans="1:10" ht="17" thickTop="1" thickBot="1">
      <c r="A6" s="3" t="s">
        <v>4</v>
      </c>
      <c r="B6" s="16">
        <f>SUM(B3:B5)</f>
        <v>0</v>
      </c>
      <c r="C6" s="16">
        <f t="shared" ref="C6:H6" si="0">SUM(C3:C5)</f>
        <v>0</v>
      </c>
      <c r="D6" s="16">
        <f t="shared" si="0"/>
        <v>49500</v>
      </c>
      <c r="E6" s="16">
        <f>SUM(E3:E5)</f>
        <v>143000</v>
      </c>
      <c r="F6" s="16">
        <f t="shared" si="0"/>
        <v>18557</v>
      </c>
      <c r="G6" s="16">
        <f t="shared" si="0"/>
        <v>0</v>
      </c>
      <c r="H6" s="16">
        <f t="shared" si="0"/>
        <v>211057</v>
      </c>
      <c r="J6" t="s">
        <v>23</v>
      </c>
    </row>
    <row r="7" spans="1:10" ht="16" thickBot="1">
      <c r="A7" s="18"/>
      <c r="B7" s="19"/>
      <c r="C7" s="19"/>
      <c r="D7" s="19"/>
      <c r="E7" s="19"/>
      <c r="F7" s="19"/>
      <c r="G7" s="20"/>
      <c r="H7" s="19"/>
    </row>
    <row r="8" spans="1:10" ht="50" thickTop="1" thickBot="1">
      <c r="A8" s="1" t="s">
        <v>19</v>
      </c>
      <c r="B8" s="21"/>
      <c r="C8" s="21"/>
      <c r="D8" s="21" t="s">
        <v>62</v>
      </c>
      <c r="E8" s="21" t="s">
        <v>25</v>
      </c>
      <c r="F8" s="21" t="s">
        <v>63</v>
      </c>
      <c r="G8" s="22"/>
      <c r="H8" s="21">
        <v>20.5</v>
      </c>
    </row>
    <row r="9" spans="1:10">
      <c r="C9">
        <v>0</v>
      </c>
      <c r="D9">
        <v>4.5</v>
      </c>
      <c r="E9">
        <v>3</v>
      </c>
      <c r="F9">
        <v>13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C10" sqref="C10"/>
    </sheetView>
  </sheetViews>
  <sheetFormatPr baseColWidth="10" defaultColWidth="27" defaultRowHeight="15" x14ac:dyDescent="0"/>
  <sheetData>
    <row r="1" spans="1:8">
      <c r="A1" s="51" t="s">
        <v>8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>
        <v>14000</v>
      </c>
      <c r="D3" s="6">
        <v>14000</v>
      </c>
      <c r="E3" s="6">
        <f>18000+460000+25000+6500+4000</f>
        <v>513500</v>
      </c>
      <c r="F3" s="6">
        <v>2000</v>
      </c>
      <c r="G3" s="7">
        <v>0</v>
      </c>
      <c r="H3" s="8">
        <f>SUM(B3:G3)</f>
        <v>543500</v>
      </c>
    </row>
    <row r="4" spans="1:8" ht="16" thickBot="1">
      <c r="A4" s="1" t="s">
        <v>21</v>
      </c>
      <c r="B4" s="5">
        <v>0</v>
      </c>
      <c r="C4" s="6">
        <f>1*B51</f>
        <v>12000</v>
      </c>
      <c r="D4" s="6">
        <f>3*B52</f>
        <v>30000</v>
      </c>
      <c r="E4" s="6">
        <f>3*B52</f>
        <v>30000</v>
      </c>
      <c r="F4" s="6">
        <f>12.5*B52</f>
        <v>125000</v>
      </c>
      <c r="G4" s="7">
        <f>1*B51</f>
        <v>12000</v>
      </c>
      <c r="H4" s="8">
        <f>SUM(B4:G4)</f>
        <v>209000</v>
      </c>
    </row>
    <row r="5" spans="1:8" ht="16" thickBot="1">
      <c r="A5" s="4" t="s">
        <v>18</v>
      </c>
      <c r="B5" s="13"/>
      <c r="C5" s="14">
        <f>SUM(C3:C4)*0.1</f>
        <v>2600</v>
      </c>
      <c r="D5" s="14">
        <f t="shared" ref="D5:G5" si="0">SUM(D3:D4)*0.1</f>
        <v>4400</v>
      </c>
      <c r="E5" s="14">
        <f t="shared" si="0"/>
        <v>54350</v>
      </c>
      <c r="F5" s="14">
        <f t="shared" si="0"/>
        <v>12700</v>
      </c>
      <c r="G5" s="14">
        <f t="shared" si="0"/>
        <v>1200</v>
      </c>
      <c r="H5" s="24">
        <f>SUM(H3:H4)*0.1</f>
        <v>75250</v>
      </c>
    </row>
    <row r="6" spans="1:8" ht="17" thickTop="1" thickBot="1">
      <c r="A6" s="3" t="s">
        <v>4</v>
      </c>
      <c r="B6" s="16">
        <f>SUM(B3:B4)</f>
        <v>0</v>
      </c>
      <c r="C6" s="16">
        <f>SUM(C3:C5)</f>
        <v>28600</v>
      </c>
      <c r="D6" s="16">
        <f t="shared" ref="D6:G6" si="1">SUM(D3:D5)</f>
        <v>48400</v>
      </c>
      <c r="E6" s="16">
        <f t="shared" si="1"/>
        <v>597850</v>
      </c>
      <c r="F6" s="16">
        <f t="shared" si="1"/>
        <v>139700</v>
      </c>
      <c r="G6" s="16">
        <f t="shared" si="1"/>
        <v>13200</v>
      </c>
      <c r="H6" s="16">
        <f>SUM(H3:H5)</f>
        <v>827750</v>
      </c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17" thickTop="1" thickBot="1">
      <c r="A8" s="1" t="s">
        <v>19</v>
      </c>
      <c r="B8" s="21"/>
      <c r="C8" s="21" t="s">
        <v>32</v>
      </c>
      <c r="D8" s="21" t="s">
        <v>33</v>
      </c>
      <c r="E8" s="21" t="s">
        <v>34</v>
      </c>
      <c r="F8" s="21" t="s">
        <v>46</v>
      </c>
      <c r="G8" s="22" t="s">
        <v>35</v>
      </c>
      <c r="H8" s="21">
        <v>20.5</v>
      </c>
    </row>
    <row r="9" spans="1:8">
      <c r="C9">
        <v>1</v>
      </c>
      <c r="D9">
        <v>3</v>
      </c>
      <c r="E9">
        <v>3</v>
      </c>
      <c r="F9">
        <v>12.5</v>
      </c>
      <c r="G9">
        <v>1</v>
      </c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 ht="18">
      <c r="A13" s="43"/>
      <c r="B13" s="68"/>
      <c r="C13" s="67"/>
      <c r="D13" s="67"/>
      <c r="E13" s="67"/>
      <c r="F13" s="43"/>
      <c r="G13" s="43"/>
      <c r="H13" s="67"/>
    </row>
    <row r="14" spans="1:8" ht="18">
      <c r="A14" s="69"/>
      <c r="B14" s="70"/>
      <c r="C14" s="67"/>
      <c r="D14" s="67"/>
      <c r="E14" s="67"/>
      <c r="F14" s="70"/>
      <c r="G14" s="71"/>
      <c r="H14" s="67"/>
    </row>
    <row r="15" spans="1:8" ht="18">
      <c r="A15" s="69"/>
      <c r="B15" s="70"/>
      <c r="C15" s="67"/>
      <c r="D15" s="67"/>
      <c r="E15" s="67"/>
      <c r="F15" s="70"/>
      <c r="G15" s="71"/>
      <c r="H15" s="67"/>
    </row>
    <row r="16" spans="1:8" ht="18">
      <c r="A16" s="69"/>
      <c r="B16" s="70"/>
      <c r="C16" s="67"/>
      <c r="D16" s="67"/>
      <c r="E16" s="67"/>
      <c r="F16" s="70"/>
      <c r="G16" s="71"/>
      <c r="H16" s="67"/>
    </row>
    <row r="17" spans="1:8" ht="18">
      <c r="A17" s="69"/>
      <c r="B17" s="70"/>
      <c r="C17" s="67"/>
      <c r="D17" s="67"/>
      <c r="E17" s="67"/>
      <c r="F17" s="70"/>
      <c r="G17" s="71"/>
      <c r="H17" s="67"/>
    </row>
    <row r="18" spans="1:8" ht="18">
      <c r="A18" s="69"/>
      <c r="B18" s="70"/>
      <c r="C18" s="67"/>
      <c r="D18" s="67"/>
      <c r="E18" s="67"/>
      <c r="F18" s="70"/>
      <c r="G18" s="71"/>
      <c r="H18" s="67"/>
    </row>
    <row r="19" spans="1:8" ht="18">
      <c r="A19" s="69"/>
      <c r="B19" s="70"/>
      <c r="C19" s="67"/>
      <c r="D19" s="67"/>
      <c r="E19" s="67"/>
      <c r="F19" s="70"/>
      <c r="G19" s="71"/>
      <c r="H19" s="67"/>
    </row>
    <row r="20" spans="1:8" ht="18">
      <c r="A20" s="69"/>
      <c r="B20" s="70"/>
      <c r="C20" s="67"/>
      <c r="D20" s="67"/>
      <c r="E20" s="67"/>
      <c r="F20" s="70"/>
      <c r="G20" s="71"/>
      <c r="H20" s="67"/>
    </row>
    <row r="21" spans="1:8" ht="18">
      <c r="A21" s="69"/>
      <c r="B21" s="70"/>
      <c r="C21" s="67"/>
      <c r="D21" s="67"/>
      <c r="E21" s="67"/>
      <c r="F21" s="70"/>
      <c r="G21" s="71"/>
      <c r="H21" s="67"/>
    </row>
    <row r="22" spans="1:8" ht="18">
      <c r="A22" s="69"/>
      <c r="B22" s="70"/>
      <c r="C22" s="67"/>
      <c r="D22" s="67"/>
      <c r="E22" s="67"/>
      <c r="F22" s="70"/>
      <c r="G22" s="71"/>
      <c r="H22" s="67"/>
    </row>
    <row r="23" spans="1:8" ht="18">
      <c r="A23" s="69"/>
      <c r="B23" s="70"/>
      <c r="C23" s="67"/>
      <c r="D23" s="67"/>
      <c r="E23" s="67"/>
      <c r="F23" s="70"/>
      <c r="G23" s="71"/>
      <c r="H23" s="67"/>
    </row>
    <row r="24" spans="1:8" ht="18">
      <c r="A24" s="69"/>
      <c r="B24" s="70"/>
      <c r="C24" s="67"/>
      <c r="D24" s="67"/>
      <c r="E24" s="67"/>
      <c r="F24" s="70"/>
      <c r="G24" s="71"/>
      <c r="H24" s="67"/>
    </row>
    <row r="25" spans="1:8" ht="18">
      <c r="A25" s="69"/>
      <c r="B25" s="70"/>
      <c r="C25" s="67"/>
      <c r="D25" s="67"/>
      <c r="E25" s="67"/>
      <c r="F25" s="70"/>
      <c r="G25" s="71"/>
      <c r="H25" s="67"/>
    </row>
    <row r="26" spans="1:8" ht="18">
      <c r="A26" s="69"/>
      <c r="B26" s="70"/>
      <c r="C26" s="67"/>
      <c r="D26" s="67"/>
      <c r="E26" s="67"/>
      <c r="F26" s="70"/>
      <c r="G26" s="71"/>
      <c r="H26" s="67"/>
    </row>
    <row r="27" spans="1:8" ht="18">
      <c r="A27" s="69"/>
      <c r="B27" s="70"/>
      <c r="C27" s="67"/>
      <c r="D27" s="67"/>
      <c r="E27" s="67"/>
      <c r="F27" s="70"/>
      <c r="G27" s="71"/>
      <c r="H27" s="67"/>
    </row>
    <row r="28" spans="1:8" ht="18">
      <c r="A28" s="69"/>
      <c r="B28" s="70"/>
      <c r="C28" s="67"/>
      <c r="D28" s="67"/>
      <c r="E28" s="67"/>
      <c r="F28" s="70"/>
      <c r="G28" s="71"/>
      <c r="H28" s="67"/>
    </row>
    <row r="29" spans="1:8" ht="18">
      <c r="A29" s="69"/>
      <c r="B29" s="70"/>
      <c r="C29" s="67"/>
      <c r="D29" s="67"/>
      <c r="E29" s="67"/>
      <c r="F29" s="70"/>
      <c r="G29" s="71"/>
      <c r="H29" s="67"/>
    </row>
    <row r="30" spans="1:8" ht="18">
      <c r="A30" s="69"/>
      <c r="B30" s="70"/>
      <c r="C30" s="67"/>
      <c r="D30" s="67"/>
      <c r="E30" s="67"/>
      <c r="F30" s="70"/>
      <c r="G30" s="71"/>
      <c r="H30" s="67"/>
    </row>
    <row r="31" spans="1:8" ht="18">
      <c r="A31" s="69"/>
      <c r="B31" s="70"/>
      <c r="C31" s="67"/>
      <c r="D31" s="67"/>
      <c r="E31" s="67"/>
      <c r="F31" s="70"/>
      <c r="G31" s="71"/>
      <c r="H31" s="67"/>
    </row>
    <row r="32" spans="1:8" ht="18">
      <c r="A32" s="69"/>
      <c r="B32" s="70"/>
      <c r="C32" s="67"/>
      <c r="D32" s="67"/>
      <c r="E32" s="67"/>
      <c r="F32" s="70"/>
      <c r="G32" s="71"/>
      <c r="H32" s="67"/>
    </row>
    <row r="33" spans="1:11" ht="18">
      <c r="A33" s="69"/>
      <c r="B33" s="70"/>
      <c r="C33" s="67"/>
      <c r="D33" s="67"/>
      <c r="E33" s="67"/>
      <c r="F33" s="43"/>
      <c r="G33" s="71"/>
      <c r="H33" s="67"/>
    </row>
    <row r="34" spans="1:11" ht="18">
      <c r="A34" s="69"/>
      <c r="B34" s="70"/>
      <c r="C34" s="67"/>
      <c r="D34" s="67"/>
      <c r="E34" s="67"/>
      <c r="F34" s="70"/>
      <c r="G34" s="71"/>
      <c r="H34" s="67"/>
    </row>
    <row r="35" spans="1:11" ht="18">
      <c r="A35" s="69"/>
      <c r="B35" s="70"/>
      <c r="C35" s="67"/>
      <c r="D35" s="67"/>
      <c r="E35" s="67"/>
      <c r="F35" s="70"/>
      <c r="G35" s="71"/>
      <c r="H35" s="67"/>
    </row>
    <row r="36" spans="1:11" ht="18">
      <c r="A36" s="69"/>
      <c r="B36" s="70"/>
      <c r="C36" s="67"/>
      <c r="D36" s="67"/>
      <c r="E36" s="67"/>
      <c r="F36" s="70"/>
      <c r="G36" s="71"/>
      <c r="H36" s="67"/>
    </row>
    <row r="37" spans="1:11" ht="18">
      <c r="A37" s="69"/>
      <c r="B37" s="70"/>
      <c r="C37" s="67"/>
      <c r="D37" s="67"/>
      <c r="E37" s="67"/>
      <c r="F37" s="70"/>
      <c r="G37" s="71"/>
      <c r="H37" s="67"/>
    </row>
    <row r="38" spans="1:11" ht="18">
      <c r="A38" s="69"/>
      <c r="B38" s="70"/>
      <c r="C38" s="67"/>
      <c r="D38" s="67"/>
      <c r="E38" s="67"/>
      <c r="F38" s="70"/>
      <c r="G38" s="71"/>
      <c r="H38" s="67"/>
    </row>
    <row r="39" spans="1:11" ht="18">
      <c r="A39" s="69"/>
      <c r="B39" s="70"/>
      <c r="C39" s="67"/>
      <c r="D39" s="67"/>
      <c r="E39" s="67"/>
      <c r="F39" s="70"/>
      <c r="G39" s="71"/>
      <c r="H39" s="67"/>
    </row>
    <row r="40" spans="1:11" ht="18">
      <c r="A40" s="69"/>
      <c r="B40" s="70"/>
      <c r="C40" s="67"/>
      <c r="D40" s="67"/>
      <c r="E40" s="67"/>
      <c r="F40" s="70"/>
      <c r="G40" s="71"/>
      <c r="H40" s="67"/>
    </row>
    <row r="41" spans="1:11" ht="18">
      <c r="A41" s="69"/>
      <c r="B41" s="70"/>
      <c r="C41" s="67"/>
      <c r="D41" s="67"/>
      <c r="E41" s="67"/>
      <c r="F41" s="43"/>
      <c r="G41" s="71"/>
      <c r="H41" s="67"/>
    </row>
    <row r="42" spans="1:11" ht="18">
      <c r="A42" s="69"/>
      <c r="B42" s="70"/>
      <c r="C42" s="67"/>
      <c r="D42" s="67"/>
      <c r="E42" s="67"/>
      <c r="F42" s="70"/>
      <c r="G42" s="71"/>
      <c r="H42" s="67"/>
    </row>
    <row r="43" spans="1:11" ht="18">
      <c r="A43" s="69"/>
      <c r="B43" s="70"/>
      <c r="C43" s="67"/>
      <c r="D43" s="67"/>
      <c r="E43" s="67"/>
      <c r="F43" s="70"/>
      <c r="G43" s="71"/>
      <c r="H43" s="67"/>
    </row>
    <row r="44" spans="1:11" ht="18">
      <c r="A44" s="69"/>
      <c r="B44" s="70"/>
      <c r="C44" s="67"/>
      <c r="D44" s="67"/>
      <c r="E44" s="67"/>
      <c r="F44" s="70"/>
      <c r="G44" s="71"/>
      <c r="H44" s="67"/>
    </row>
    <row r="45" spans="1:11" ht="18">
      <c r="A45" s="69"/>
      <c r="B45" s="70"/>
      <c r="C45" s="67"/>
      <c r="D45" s="67"/>
      <c r="E45" s="67"/>
      <c r="F45" s="70"/>
      <c r="G45" s="71"/>
      <c r="H45" s="67"/>
    </row>
    <row r="46" spans="1:11" ht="18">
      <c r="A46" s="69"/>
      <c r="B46" s="70"/>
      <c r="C46" s="67"/>
      <c r="D46" s="67"/>
      <c r="E46" s="67"/>
      <c r="F46" s="70"/>
      <c r="G46" s="71"/>
      <c r="H46" s="67"/>
    </row>
    <row r="47" spans="1:11" ht="18">
      <c r="A47" s="69"/>
      <c r="B47" s="70"/>
      <c r="C47" s="67"/>
      <c r="D47" s="67"/>
      <c r="E47" s="67"/>
      <c r="F47" s="70"/>
      <c r="G47" s="71"/>
      <c r="H47" s="67"/>
    </row>
    <row r="48" spans="1:11" ht="16">
      <c r="A48" s="43"/>
      <c r="B48" s="43"/>
      <c r="C48" s="67"/>
      <c r="D48" s="67"/>
      <c r="E48" s="67"/>
      <c r="F48" s="43"/>
      <c r="G48" s="43"/>
      <c r="H48" s="67"/>
      <c r="K48" s="44"/>
    </row>
    <row r="49" spans="1:7" ht="17" thickBot="1">
      <c r="A49" s="66"/>
      <c r="B49" s="66"/>
      <c r="F49" s="66"/>
      <c r="G49" s="66"/>
    </row>
    <row r="50" spans="1:7" ht="17" thickBot="1">
      <c r="A50" s="40"/>
      <c r="B50" s="40"/>
      <c r="F50" s="40"/>
      <c r="G50" s="40"/>
    </row>
    <row r="51" spans="1:7">
      <c r="A51" t="s">
        <v>29</v>
      </c>
      <c r="B51">
        <v>12000</v>
      </c>
    </row>
    <row r="52" spans="1:7" ht="16">
      <c r="A52" s="43" t="s">
        <v>31</v>
      </c>
      <c r="B52">
        <v>10000</v>
      </c>
    </row>
    <row r="66" spans="1:1">
      <c r="A66" s="41"/>
    </row>
  </sheetData>
  <mergeCells count="11">
    <mergeCell ref="A14:A24"/>
    <mergeCell ref="A25:A33"/>
    <mergeCell ref="A34:A47"/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60" zoomScaleNormal="160" zoomScalePageLayoutView="160" workbookViewId="0">
      <selection activeCell="H9" sqref="H9"/>
    </sheetView>
  </sheetViews>
  <sheetFormatPr baseColWidth="10" defaultRowHeight="15" x14ac:dyDescent="0"/>
  <cols>
    <col min="2" max="2" width="15.33203125" customWidth="1"/>
  </cols>
  <sheetData>
    <row r="1" spans="1:8">
      <c r="A1" s="51" t="s">
        <v>9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/>
      <c r="C3" s="6" t="s">
        <v>57</v>
      </c>
      <c r="D3" s="6" t="s">
        <v>57</v>
      </c>
      <c r="E3" s="6">
        <f>1600000+159000</f>
        <v>1759000</v>
      </c>
      <c r="F3" s="6">
        <f>0.75*1600000</f>
        <v>1200000</v>
      </c>
      <c r="G3" s="7"/>
      <c r="H3" s="8">
        <f>SUM(B3:G3)</f>
        <v>2959000</v>
      </c>
    </row>
    <row r="4" spans="1:8" ht="16" thickBot="1">
      <c r="A4" s="1" t="s">
        <v>21</v>
      </c>
      <c r="B4" s="5"/>
      <c r="C4" s="6" t="s">
        <v>57</v>
      </c>
      <c r="D4" s="6">
        <f>2.25*B10</f>
        <v>27000</v>
      </c>
      <c r="E4" s="6">
        <f>1.44*B11+0.75*B10</f>
        <v>23400</v>
      </c>
      <c r="F4" s="6">
        <f>0.25*1600000</f>
        <v>400000</v>
      </c>
      <c r="G4" s="7">
        <f>3.6*B11</f>
        <v>36000</v>
      </c>
      <c r="H4" s="8">
        <f>SUM(B4:G4)</f>
        <v>486400</v>
      </c>
    </row>
    <row r="5" spans="1:8" ht="25" thickBot="1">
      <c r="A5" s="4" t="s">
        <v>18</v>
      </c>
      <c r="B5" s="13"/>
      <c r="C5" s="14"/>
      <c r="D5" s="14">
        <f>SUM(D3:D4)*0.1</f>
        <v>2700</v>
      </c>
      <c r="E5" s="14">
        <f t="shared" ref="E5:G5" si="0">SUM(E3:E4)*0.1</f>
        <v>178240</v>
      </c>
      <c r="F5" s="14">
        <f t="shared" si="0"/>
        <v>160000</v>
      </c>
      <c r="G5" s="14">
        <f t="shared" si="0"/>
        <v>3600</v>
      </c>
      <c r="H5" s="24">
        <f>SUM(H3:H4)*0.1</f>
        <v>344540</v>
      </c>
    </row>
    <row r="6" spans="1:8" ht="17" thickTop="1" thickBot="1">
      <c r="A6" s="3" t="s">
        <v>4</v>
      </c>
      <c r="B6" s="16"/>
      <c r="C6" s="16" t="s">
        <v>57</v>
      </c>
      <c r="D6" s="72">
        <f>SUM(D3:D5)</f>
        <v>29700</v>
      </c>
      <c r="E6" s="72">
        <f t="shared" ref="E6:G6" si="1">SUM(E3:E5)</f>
        <v>1960640</v>
      </c>
      <c r="F6" s="72">
        <f t="shared" si="1"/>
        <v>1760000</v>
      </c>
      <c r="G6" s="72">
        <f t="shared" si="1"/>
        <v>39600</v>
      </c>
      <c r="H6" s="16">
        <f>SUM(H3:H5)</f>
        <v>3789940</v>
      </c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50" thickTop="1" thickBot="1">
      <c r="A8" s="1" t="s">
        <v>19</v>
      </c>
      <c r="B8" s="21"/>
      <c r="C8" s="21"/>
      <c r="D8" s="16" t="s">
        <v>58</v>
      </c>
      <c r="E8" s="21" t="s">
        <v>59</v>
      </c>
      <c r="F8" s="21" t="s">
        <v>60</v>
      </c>
      <c r="G8" s="22" t="s">
        <v>61</v>
      </c>
      <c r="H8" s="21">
        <v>47</v>
      </c>
    </row>
    <row r="9" spans="1:8">
      <c r="C9">
        <v>0</v>
      </c>
      <c r="D9">
        <v>2.25</v>
      </c>
      <c r="E9">
        <v>1.08</v>
      </c>
      <c r="F9">
        <v>40</v>
      </c>
      <c r="G9">
        <v>3.6</v>
      </c>
    </row>
    <row r="10" spans="1:8">
      <c r="A10" s="42" t="s">
        <v>47</v>
      </c>
      <c r="B10">
        <v>12000</v>
      </c>
    </row>
    <row r="11" spans="1:8">
      <c r="A11" s="42" t="s">
        <v>48</v>
      </c>
      <c r="B11">
        <v>10000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60" zoomScaleNormal="160" zoomScalePageLayoutView="160" workbookViewId="0">
      <selection activeCell="C8" sqref="C8"/>
    </sheetView>
  </sheetViews>
  <sheetFormatPr baseColWidth="10" defaultRowHeight="15" x14ac:dyDescent="0"/>
  <sheetData>
    <row r="1" spans="1:8">
      <c r="A1" s="51" t="s">
        <v>10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/>
      <c r="D3" s="6"/>
      <c r="E3" s="6"/>
      <c r="F3" s="6"/>
      <c r="G3" s="7"/>
      <c r="H3" s="8"/>
    </row>
    <row r="4" spans="1:8" ht="16" thickBot="1">
      <c r="A4" s="1" t="s">
        <v>21</v>
      </c>
      <c r="B4" s="5">
        <v>0</v>
      </c>
      <c r="C4" s="6"/>
      <c r="D4" s="6"/>
      <c r="E4" s="6"/>
      <c r="F4" s="6"/>
      <c r="G4" s="7"/>
      <c r="H4" s="8"/>
    </row>
    <row r="5" spans="1:8" ht="17" thickTop="1" thickBot="1">
      <c r="A5" s="3" t="s">
        <v>4</v>
      </c>
      <c r="B5" s="16">
        <f>SUM(B3:B4)</f>
        <v>0</v>
      </c>
      <c r="C5" s="16"/>
      <c r="D5" s="16"/>
      <c r="E5" s="16"/>
      <c r="F5" s="16"/>
      <c r="G5" s="17">
        <f>SUM(G3:G4)</f>
        <v>0</v>
      </c>
      <c r="H5" s="16"/>
    </row>
    <row r="6" spans="1:8" ht="16" thickBot="1">
      <c r="A6" s="18"/>
      <c r="B6" s="19"/>
      <c r="C6" s="19"/>
      <c r="D6" s="19"/>
      <c r="E6" s="19"/>
      <c r="F6" s="19"/>
      <c r="G6" s="20"/>
      <c r="H6" s="19"/>
    </row>
    <row r="7" spans="1:8" ht="50" thickTop="1" thickBot="1">
      <c r="A7" s="1" t="s">
        <v>19</v>
      </c>
      <c r="B7" s="21"/>
      <c r="C7" s="21"/>
      <c r="D7" s="21"/>
      <c r="E7" s="21"/>
      <c r="F7" s="21"/>
      <c r="G7" s="22"/>
      <c r="H7" s="2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60" zoomScaleNormal="160" zoomScalePageLayoutView="160" workbookViewId="0">
      <selection activeCell="H9" sqref="H9"/>
    </sheetView>
  </sheetViews>
  <sheetFormatPr baseColWidth="10" defaultRowHeight="15" x14ac:dyDescent="0"/>
  <sheetData>
    <row r="1" spans="1:8">
      <c r="A1" s="51" t="s">
        <v>11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/>
      <c r="D3" s="6"/>
      <c r="E3" s="6">
        <f>76000</f>
        <v>76000</v>
      </c>
      <c r="F3" s="6"/>
      <c r="G3" s="7"/>
      <c r="H3" s="8">
        <f>SUM(B3:G3)</f>
        <v>76000</v>
      </c>
    </row>
    <row r="4" spans="1:8" ht="16" thickBot="1">
      <c r="A4" s="1" t="s">
        <v>21</v>
      </c>
      <c r="B4" s="5">
        <v>0</v>
      </c>
      <c r="C4" s="6">
        <f>5*B10</f>
        <v>60000</v>
      </c>
      <c r="D4" s="6">
        <f>2*B11</f>
        <v>20000</v>
      </c>
      <c r="E4" s="6">
        <f>14*B11</f>
        <v>140000</v>
      </c>
      <c r="F4" s="6">
        <f>4*B11</f>
        <v>40000</v>
      </c>
      <c r="G4" s="7">
        <f>4*B11</f>
        <v>40000</v>
      </c>
      <c r="H4" s="8">
        <f>SUM(B4:G4)</f>
        <v>300000</v>
      </c>
    </row>
    <row r="5" spans="1:8" ht="25" thickBot="1">
      <c r="A5" s="4" t="s">
        <v>18</v>
      </c>
      <c r="B5" s="13"/>
      <c r="C5" s="14">
        <f>SUM(C3:C4)*0.1</f>
        <v>6000</v>
      </c>
      <c r="D5" s="14">
        <f t="shared" ref="D5:G5" si="0">SUM(D3:D4)*0.1</f>
        <v>2000</v>
      </c>
      <c r="E5" s="14">
        <f t="shared" si="0"/>
        <v>21600</v>
      </c>
      <c r="F5" s="14">
        <f t="shared" si="0"/>
        <v>4000</v>
      </c>
      <c r="G5" s="14">
        <f t="shared" si="0"/>
        <v>4000</v>
      </c>
      <c r="H5" s="24">
        <f>SUM(H3:H4)*0.1</f>
        <v>37600</v>
      </c>
    </row>
    <row r="6" spans="1:8" ht="17" thickTop="1" thickBot="1">
      <c r="A6" s="3" t="s">
        <v>4</v>
      </c>
      <c r="B6" s="16">
        <f>SUM(B3:B4)</f>
        <v>0</v>
      </c>
      <c r="C6" s="16">
        <f>SUM(C3:C5)</f>
        <v>66000</v>
      </c>
      <c r="D6" s="16">
        <f t="shared" ref="D6:G6" si="1">SUM(D3:D5)</f>
        <v>22000</v>
      </c>
      <c r="E6" s="16">
        <f t="shared" si="1"/>
        <v>237600</v>
      </c>
      <c r="F6" s="16">
        <f t="shared" si="1"/>
        <v>44000</v>
      </c>
      <c r="G6" s="16">
        <f t="shared" si="1"/>
        <v>44000</v>
      </c>
      <c r="H6" s="16">
        <f>SUM(H3:H5)</f>
        <v>413600</v>
      </c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50" thickTop="1" thickBot="1">
      <c r="A8" s="1" t="s">
        <v>19</v>
      </c>
      <c r="B8" s="21"/>
      <c r="C8" s="21" t="s">
        <v>49</v>
      </c>
      <c r="D8" s="21" t="s">
        <v>50</v>
      </c>
      <c r="E8" s="21" t="s">
        <v>51</v>
      </c>
      <c r="F8" s="21" t="s">
        <v>52</v>
      </c>
      <c r="G8" s="22" t="s">
        <v>52</v>
      </c>
      <c r="H8" s="21">
        <v>34</v>
      </c>
    </row>
    <row r="9" spans="1:8">
      <c r="C9">
        <v>5</v>
      </c>
      <c r="D9">
        <v>2</v>
      </c>
      <c r="E9">
        <v>19</v>
      </c>
      <c r="F9">
        <v>4</v>
      </c>
      <c r="G9">
        <v>4</v>
      </c>
    </row>
    <row r="10" spans="1:8">
      <c r="A10" s="42" t="s">
        <v>47</v>
      </c>
      <c r="B10">
        <v>12000</v>
      </c>
    </row>
    <row r="11" spans="1:8">
      <c r="A11" s="42" t="s">
        <v>48</v>
      </c>
      <c r="B11">
        <v>10000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C1" workbookViewId="0">
      <selection activeCell="H9" sqref="H9"/>
    </sheetView>
  </sheetViews>
  <sheetFormatPr baseColWidth="10" defaultColWidth="28.83203125" defaultRowHeight="15" x14ac:dyDescent="0"/>
  <sheetData>
    <row r="1" spans="1:8">
      <c r="A1" s="51" t="s">
        <v>12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>
        <v>14000</v>
      </c>
      <c r="D3" s="6">
        <v>14000</v>
      </c>
      <c r="E3" s="6">
        <f>154000+100000</f>
        <v>254000</v>
      </c>
      <c r="F3" s="6">
        <v>23000</v>
      </c>
      <c r="G3" s="7">
        <v>40000</v>
      </c>
      <c r="H3" s="8">
        <f>SUM(B3:G3)</f>
        <v>345000</v>
      </c>
    </row>
    <row r="4" spans="1:8" ht="16" thickBot="1">
      <c r="A4" s="1" t="s">
        <v>21</v>
      </c>
      <c r="B4" s="5">
        <v>0</v>
      </c>
      <c r="C4" s="6">
        <f>4*B10</f>
        <v>48000</v>
      </c>
      <c r="D4" s="6">
        <f>12*B11</f>
        <v>120000</v>
      </c>
      <c r="E4" s="6">
        <f>18*B11</f>
        <v>180000</v>
      </c>
      <c r="F4" s="6">
        <f>12*B11</f>
        <v>120000</v>
      </c>
      <c r="G4" s="7">
        <f>4*B10</f>
        <v>48000</v>
      </c>
      <c r="H4" s="8">
        <f>SUM(B4:G4)</f>
        <v>516000</v>
      </c>
    </row>
    <row r="5" spans="1:8" ht="16" thickBot="1">
      <c r="A5" s="4" t="s">
        <v>18</v>
      </c>
      <c r="B5" s="15">
        <f t="shared" ref="B5" si="0">SUM(B3:B4)*0.1</f>
        <v>0</v>
      </c>
      <c r="C5" s="15">
        <f t="shared" ref="C5" si="1">SUM(C3:C4)*0.1</f>
        <v>6200</v>
      </c>
      <c r="D5" s="15">
        <f t="shared" ref="D5:F5" si="2">SUM(D3:D4)*0.1</f>
        <v>13400</v>
      </c>
      <c r="E5" s="15">
        <f t="shared" si="2"/>
        <v>43400</v>
      </c>
      <c r="F5" s="15">
        <f t="shared" si="2"/>
        <v>14300</v>
      </c>
      <c r="G5" s="15">
        <f>SUM(G3:G4)*0.1</f>
        <v>8800</v>
      </c>
      <c r="H5" s="24">
        <f>SUM(H3:H4)*0.1</f>
        <v>86100</v>
      </c>
    </row>
    <row r="6" spans="1:8" ht="17" thickTop="1" thickBot="1">
      <c r="A6" s="3" t="s">
        <v>4</v>
      </c>
      <c r="B6" s="16">
        <f>SUM(B3:B4)</f>
        <v>0</v>
      </c>
      <c r="C6" s="16">
        <f>SUM(C3:C5)</f>
        <v>68200</v>
      </c>
      <c r="D6" s="16">
        <f t="shared" ref="D6:F6" si="3">SUM(D3:D5)</f>
        <v>147400</v>
      </c>
      <c r="E6" s="16">
        <f t="shared" si="3"/>
        <v>477400</v>
      </c>
      <c r="F6" s="16">
        <f t="shared" si="3"/>
        <v>157300</v>
      </c>
      <c r="G6" s="17">
        <f>SUM(G3:G4)</f>
        <v>88000</v>
      </c>
      <c r="H6" s="16">
        <f>SUM(H3:H5)</f>
        <v>947100</v>
      </c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17" thickTop="1" thickBot="1">
      <c r="A8" s="1" t="s">
        <v>19</v>
      </c>
      <c r="B8" s="21"/>
      <c r="C8" s="21" t="s">
        <v>36</v>
      </c>
      <c r="D8" s="21" t="s">
        <v>37</v>
      </c>
      <c r="E8" s="21" t="s">
        <v>38</v>
      </c>
      <c r="F8" s="21" t="s">
        <v>37</v>
      </c>
      <c r="G8" s="22" t="s">
        <v>36</v>
      </c>
      <c r="H8" s="21">
        <v>50</v>
      </c>
    </row>
    <row r="9" spans="1:8">
      <c r="C9">
        <v>4</v>
      </c>
      <c r="D9">
        <v>12</v>
      </c>
      <c r="E9">
        <v>18</v>
      </c>
      <c r="F9">
        <v>12</v>
      </c>
      <c r="G9">
        <v>4</v>
      </c>
    </row>
    <row r="10" spans="1:8">
      <c r="A10" s="42" t="s">
        <v>29</v>
      </c>
      <c r="B10">
        <v>12000</v>
      </c>
    </row>
    <row r="11" spans="1:8">
      <c r="A11" s="42" t="s">
        <v>31</v>
      </c>
      <c r="B11">
        <v>10000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60" zoomScaleNormal="160" zoomScalePageLayoutView="160" workbookViewId="0">
      <selection activeCell="A17" sqref="A17"/>
    </sheetView>
  </sheetViews>
  <sheetFormatPr baseColWidth="10" defaultRowHeight="15" x14ac:dyDescent="0"/>
  <sheetData>
    <row r="1" spans="1:8">
      <c r="A1" s="51" t="s">
        <v>13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/>
      <c r="D3" s="6"/>
      <c r="E3" s="6"/>
      <c r="F3" s="6"/>
      <c r="G3" s="7"/>
      <c r="H3" s="8"/>
    </row>
    <row r="4" spans="1:8" ht="16" thickBot="1">
      <c r="A4" s="1" t="s">
        <v>21</v>
      </c>
      <c r="B4" s="5">
        <v>0</v>
      </c>
      <c r="C4" s="6"/>
      <c r="D4" s="6"/>
      <c r="E4" s="6"/>
      <c r="F4" s="6"/>
      <c r="G4" s="7"/>
      <c r="H4" s="8"/>
    </row>
    <row r="5" spans="1:8" ht="25" thickBot="1">
      <c r="A5" s="4" t="s">
        <v>18</v>
      </c>
      <c r="B5" s="13"/>
      <c r="C5" s="14"/>
      <c r="D5" s="14"/>
      <c r="E5" s="14"/>
      <c r="F5" s="14"/>
      <c r="G5" s="15"/>
      <c r="H5" s="24"/>
    </row>
    <row r="6" spans="1:8" ht="17" thickTop="1" thickBot="1">
      <c r="A6" s="3" t="s">
        <v>4</v>
      </c>
      <c r="B6" s="16">
        <f>SUM(B3:B4)</f>
        <v>0</v>
      </c>
      <c r="C6" s="16"/>
      <c r="D6" s="16"/>
      <c r="E6" s="16"/>
      <c r="F6" s="16"/>
      <c r="G6" s="17"/>
      <c r="H6" s="16"/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50" thickTop="1" thickBot="1">
      <c r="A8" s="1" t="s">
        <v>19</v>
      </c>
      <c r="B8" s="21"/>
      <c r="C8" s="21"/>
      <c r="D8" s="21"/>
      <c r="E8" s="21"/>
      <c r="F8" s="21"/>
      <c r="G8" s="22"/>
      <c r="H8" s="21"/>
    </row>
    <row r="10" spans="1:8" ht="36">
      <c r="A10" s="42" t="s">
        <v>39</v>
      </c>
    </row>
    <row r="11" spans="1:8" ht="36">
      <c r="A11" s="42" t="s">
        <v>40</v>
      </c>
    </row>
    <row r="12" spans="1:8" ht="36">
      <c r="A12" s="42" t="s">
        <v>41</v>
      </c>
    </row>
    <row r="13" spans="1:8">
      <c r="A13" s="42" t="s">
        <v>42</v>
      </c>
    </row>
    <row r="14" spans="1:8" ht="84">
      <c r="A14" s="42" t="s">
        <v>43</v>
      </c>
    </row>
    <row r="15" spans="1:8" ht="36">
      <c r="A15" s="42" t="s">
        <v>53</v>
      </c>
    </row>
    <row r="16" spans="1:8">
      <c r="A16" s="42" t="s">
        <v>64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60" zoomScaleNormal="160" zoomScalePageLayoutView="160" workbookViewId="0">
      <selection activeCell="G7" sqref="G7"/>
    </sheetView>
  </sheetViews>
  <sheetFormatPr baseColWidth="10" defaultRowHeight="15" x14ac:dyDescent="0"/>
  <sheetData>
    <row r="1" spans="1:8">
      <c r="A1" s="51" t="s">
        <v>14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/>
      <c r="D3" s="6"/>
      <c r="E3" s="6"/>
      <c r="F3" s="6"/>
      <c r="G3" s="7"/>
      <c r="H3" s="8"/>
    </row>
    <row r="4" spans="1:8" ht="16" thickBot="1">
      <c r="A4" s="1" t="s">
        <v>21</v>
      </c>
      <c r="B4" s="5">
        <v>0</v>
      </c>
      <c r="C4" s="6"/>
      <c r="D4" s="6"/>
      <c r="E4" s="6"/>
      <c r="F4" s="6"/>
      <c r="G4" s="7"/>
      <c r="H4" s="8"/>
    </row>
    <row r="5" spans="1:8" ht="25" thickBot="1">
      <c r="A5" s="4" t="s">
        <v>18</v>
      </c>
      <c r="B5" s="13"/>
      <c r="C5" s="14"/>
      <c r="D5" s="14"/>
      <c r="E5" s="14"/>
      <c r="F5" s="14"/>
      <c r="G5" s="15"/>
      <c r="H5" s="24"/>
    </row>
    <row r="6" spans="1:8" ht="17" thickTop="1" thickBot="1">
      <c r="A6" s="3" t="s">
        <v>4</v>
      </c>
      <c r="B6" s="16">
        <f>SUM(B3:B4)</f>
        <v>0</v>
      </c>
      <c r="C6" s="16"/>
      <c r="D6" s="16"/>
      <c r="E6" s="16"/>
      <c r="F6" s="16"/>
      <c r="G6" s="17"/>
      <c r="H6" s="16" t="s">
        <v>65</v>
      </c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50" thickTop="1" thickBot="1">
      <c r="A8" s="1" t="s">
        <v>19</v>
      </c>
      <c r="B8" s="21"/>
      <c r="C8" s="21"/>
      <c r="D8" s="21"/>
      <c r="E8" s="21"/>
      <c r="F8" s="21"/>
      <c r="G8" s="22"/>
      <c r="H8" s="21" t="s">
        <v>24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60" zoomScaleNormal="160" zoomScalePageLayoutView="160" workbookViewId="0">
      <selection activeCell="G11" sqref="G11"/>
    </sheetView>
  </sheetViews>
  <sheetFormatPr baseColWidth="10" defaultRowHeight="15" x14ac:dyDescent="0"/>
  <sheetData>
    <row r="1" spans="1:8">
      <c r="A1" s="51" t="s">
        <v>15</v>
      </c>
      <c r="B1" s="49" t="s">
        <v>16</v>
      </c>
      <c r="C1" s="49" t="s">
        <v>17</v>
      </c>
      <c r="D1" s="49" t="s">
        <v>0</v>
      </c>
      <c r="E1" s="49" t="s">
        <v>1</v>
      </c>
      <c r="F1" s="49" t="s">
        <v>2</v>
      </c>
      <c r="G1" s="53" t="s">
        <v>3</v>
      </c>
      <c r="H1" s="47" t="s">
        <v>4</v>
      </c>
    </row>
    <row r="2" spans="1:8" ht="16" thickBot="1">
      <c r="A2" s="52"/>
      <c r="B2" s="50"/>
      <c r="C2" s="50"/>
      <c r="D2" s="50"/>
      <c r="E2" s="50"/>
      <c r="F2" s="50"/>
      <c r="G2" s="54"/>
      <c r="H2" s="48"/>
    </row>
    <row r="3" spans="1:8" ht="16" thickBot="1">
      <c r="A3" s="1" t="s">
        <v>20</v>
      </c>
      <c r="B3" s="5">
        <v>0</v>
      </c>
      <c r="C3" s="6"/>
      <c r="D3" s="6"/>
      <c r="E3" s="6"/>
      <c r="F3" s="6"/>
      <c r="G3" s="7"/>
      <c r="H3" s="8"/>
    </row>
    <row r="4" spans="1:8" ht="16" thickBot="1">
      <c r="A4" s="1" t="s">
        <v>21</v>
      </c>
      <c r="B4" s="5">
        <v>0</v>
      </c>
      <c r="C4" s="6"/>
      <c r="D4" s="6"/>
      <c r="E4" s="6"/>
      <c r="F4" s="6"/>
      <c r="G4" s="7"/>
      <c r="H4" s="8"/>
    </row>
    <row r="5" spans="1:8" ht="25" thickBot="1">
      <c r="A5" s="4" t="s">
        <v>18</v>
      </c>
      <c r="B5" s="13"/>
      <c r="C5" s="14"/>
      <c r="D5" s="14"/>
      <c r="E5" s="14"/>
      <c r="F5" s="14"/>
      <c r="G5" s="15"/>
      <c r="H5" s="24"/>
    </row>
    <row r="6" spans="1:8" ht="17" thickTop="1" thickBot="1">
      <c r="A6" s="3" t="s">
        <v>4</v>
      </c>
      <c r="B6" s="16">
        <f>SUM(B3:B4)</f>
        <v>0</v>
      </c>
      <c r="C6" s="16"/>
      <c r="D6" s="16"/>
      <c r="E6" s="16"/>
      <c r="F6" s="16"/>
      <c r="G6" s="17">
        <f>SUM(G3:G4)</f>
        <v>0</v>
      </c>
      <c r="H6" s="16"/>
    </row>
    <row r="7" spans="1:8" ht="16" thickBot="1">
      <c r="A7" s="18"/>
      <c r="B7" s="19"/>
      <c r="C7" s="19"/>
      <c r="D7" s="19"/>
      <c r="E7" s="19"/>
      <c r="F7" s="19"/>
      <c r="G7" s="20"/>
      <c r="H7" s="19"/>
    </row>
    <row r="8" spans="1:8" ht="50" thickTop="1" thickBot="1">
      <c r="A8" s="1" t="s">
        <v>19</v>
      </c>
      <c r="B8" s="21"/>
      <c r="C8" s="21"/>
      <c r="D8" s="21"/>
      <c r="E8" s="21"/>
      <c r="F8" s="21"/>
      <c r="G8" s="22"/>
      <c r="H8" s="2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SKADI Full Scope</vt:lpstr>
      <vt:lpstr>SKADI - AGREED SCOPE</vt:lpstr>
      <vt:lpstr>Shielding</vt:lpstr>
      <vt:lpstr>Neutron Optics</vt:lpstr>
      <vt:lpstr>Choppers</vt:lpstr>
      <vt:lpstr>Sample Environment</vt:lpstr>
      <vt:lpstr>DetectorsBeamMonitors</vt:lpstr>
      <vt:lpstr>DAQ</vt:lpstr>
      <vt:lpstr>MCA</vt:lpstr>
      <vt:lpstr>SpecificTechEquipment</vt:lpstr>
      <vt:lpstr>Infrastructure</vt:lpstr>
      <vt:lpstr>Vacuum</vt:lpstr>
      <vt:lpstr>PSS</vt:lpstr>
    </vt:vector>
  </TitlesOfParts>
  <Company>European Spallation Source ESS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Jackson</dc:creator>
  <cp:lastModifiedBy>Sebastian Jaksch</cp:lastModifiedBy>
  <dcterms:created xsi:type="dcterms:W3CDTF">2016-05-19T16:06:43Z</dcterms:created>
  <dcterms:modified xsi:type="dcterms:W3CDTF">2016-09-26T09:27:26Z</dcterms:modified>
</cp:coreProperties>
</file>