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8" windowWidth="8934" windowHeight="5718"/>
  </bookViews>
  <sheets>
    <sheet name="Detailed Budget" sheetId="1" r:id="rId1"/>
    <sheet name="Option 1" sheetId="2" r:id="rId2"/>
    <sheet name="Option 2" sheetId="3" r:id="rId3"/>
    <sheet name="Option 3" sheetId="4" r:id="rId4"/>
    <sheet name="." sheetId="5" r:id="rId5"/>
  </sheets>
  <calcPr calcId="145621" concurrentCalc="0"/>
</workbook>
</file>

<file path=xl/calcChain.xml><?xml version="1.0" encoding="utf-8"?>
<calcChain xmlns="http://schemas.openxmlformats.org/spreadsheetml/2006/main">
  <c r="Z19" i="1" l="1"/>
  <c r="Z20" i="1"/>
  <c r="Z21" i="1"/>
  <c r="Z22" i="1"/>
  <c r="Z23" i="1"/>
  <c r="Z24" i="1"/>
  <c r="Z25" i="1"/>
  <c r="Z26" i="1"/>
  <c r="Z27" i="1"/>
  <c r="Z28" i="1"/>
  <c r="Z29" i="1"/>
  <c r="Z30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N52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N84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N162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N163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N164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N165" i="1"/>
  <c r="H207" i="1"/>
  <c r="H202" i="1"/>
  <c r="H196" i="1"/>
  <c r="H190" i="1"/>
  <c r="K205" i="1"/>
  <c r="K204" i="1"/>
  <c r="K200" i="1"/>
  <c r="K199" i="1"/>
  <c r="K194" i="1"/>
  <c r="K193" i="1"/>
  <c r="K188" i="1"/>
  <c r="K187" i="1"/>
  <c r="K182" i="1"/>
  <c r="K181" i="1"/>
  <c r="K177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A49" i="1"/>
  <c r="AC49" i="1"/>
  <c r="AE49" i="1"/>
  <c r="AF49" i="1"/>
  <c r="AG49" i="1"/>
  <c r="AI49" i="1"/>
  <c r="AK49" i="1"/>
  <c r="J7" i="5"/>
  <c r="J8" i="5"/>
  <c r="F11" i="5"/>
  <c r="G22" i="5"/>
  <c r="B9" i="5"/>
  <c r="B10" i="5"/>
  <c r="N100" i="1"/>
  <c r="L55" i="5"/>
  <c r="K155" i="1"/>
  <c r="K45" i="5"/>
  <c r="N45" i="5"/>
  <c r="M44" i="5"/>
  <c r="M45" i="5"/>
  <c r="M46" i="5"/>
  <c r="M47" i="5"/>
  <c r="M43" i="5"/>
  <c r="N44" i="5"/>
  <c r="C22" i="5"/>
  <c r="C23" i="5"/>
  <c r="C24" i="5"/>
  <c r="C25" i="5"/>
  <c r="N25" i="5"/>
  <c r="K43" i="5"/>
  <c r="N43" i="5"/>
  <c r="C34" i="5"/>
  <c r="G27" i="5"/>
  <c r="N22" i="5"/>
  <c r="F4" i="5"/>
  <c r="N23" i="5"/>
  <c r="F5" i="5"/>
  <c r="F6" i="5"/>
  <c r="F7" i="5"/>
  <c r="F8" i="5"/>
  <c r="F9" i="5"/>
  <c r="D26" i="5"/>
  <c r="G23" i="5"/>
  <c r="D31" i="5"/>
  <c r="G26" i="5"/>
  <c r="D35" i="5"/>
  <c r="G28" i="5"/>
  <c r="D42" i="5"/>
  <c r="G31" i="5"/>
  <c r="N28" i="5"/>
  <c r="F10" i="5"/>
  <c r="F12" i="5"/>
  <c r="E5" i="5"/>
  <c r="E6" i="5"/>
  <c r="E7" i="5"/>
  <c r="E8" i="5"/>
  <c r="E9" i="5"/>
  <c r="E10" i="5"/>
  <c r="E4" i="5"/>
  <c r="E23" i="5"/>
  <c r="A42" i="5"/>
  <c r="B42" i="5"/>
  <c r="B41" i="5"/>
  <c r="C41" i="5"/>
  <c r="G30" i="5"/>
  <c r="A41" i="5"/>
  <c r="B38" i="5"/>
  <c r="C38" i="5"/>
  <c r="A38" i="5"/>
  <c r="A35" i="5"/>
  <c r="B35" i="5"/>
  <c r="B34" i="5"/>
  <c r="A34" i="5"/>
  <c r="A26" i="5"/>
  <c r="B26" i="5"/>
  <c r="A23" i="5"/>
  <c r="B23" i="5"/>
  <c r="A24" i="5"/>
  <c r="B24" i="5"/>
  <c r="A25" i="5"/>
  <c r="B25" i="5"/>
  <c r="B22" i="5"/>
  <c r="A22" i="5"/>
  <c r="B29" i="5"/>
  <c r="C29" i="5"/>
  <c r="B30" i="5"/>
  <c r="C30" i="5"/>
  <c r="B31" i="5"/>
  <c r="A30" i="5"/>
  <c r="A31" i="5"/>
  <c r="A29" i="5"/>
  <c r="K46" i="5"/>
  <c r="N46" i="5"/>
  <c r="N126" i="1"/>
  <c r="O87" i="1"/>
  <c r="K47" i="5"/>
  <c r="N47" i="5"/>
  <c r="AN49" i="1"/>
  <c r="J76" i="1"/>
  <c r="AA76" i="1"/>
  <c r="W79" i="1"/>
  <c r="J82" i="1"/>
  <c r="J17" i="1"/>
  <c r="J16" i="1"/>
  <c r="K165" i="1"/>
  <c r="O79" i="1"/>
  <c r="X79" i="1"/>
  <c r="Y79" i="1"/>
  <c r="P79" i="1"/>
  <c r="R79" i="1"/>
  <c r="V79" i="1"/>
  <c r="K49" i="1"/>
  <c r="Z49" i="1"/>
  <c r="AN48" i="1"/>
  <c r="AA48" i="1"/>
  <c r="AC48" i="1"/>
  <c r="AE48" i="1"/>
  <c r="AG48" i="1"/>
  <c r="AI48" i="1"/>
  <c r="AK48" i="1"/>
  <c r="Z48" i="1"/>
  <c r="AF48" i="1"/>
  <c r="Z82" i="1"/>
  <c r="Z83" i="1"/>
  <c r="Z99" i="1"/>
  <c r="Z98" i="1"/>
  <c r="AN22" i="1"/>
  <c r="Z103" i="1"/>
  <c r="Z130" i="1"/>
  <c r="Z131" i="1"/>
  <c r="Z132" i="1"/>
  <c r="Z116" i="1"/>
  <c r="Z58" i="1"/>
  <c r="Z59" i="1"/>
  <c r="Z61" i="1"/>
  <c r="Z62" i="1"/>
  <c r="AA16" i="1"/>
  <c r="AN18" i="1"/>
  <c r="AN70" i="1"/>
  <c r="AN82" i="1"/>
  <c r="AN83" i="1"/>
  <c r="AC16" i="1"/>
  <c r="AC76" i="1"/>
  <c r="AE16" i="1"/>
  <c r="AG16" i="1"/>
  <c r="AG76" i="1"/>
  <c r="AI16" i="1"/>
  <c r="AK16" i="1"/>
  <c r="AK76" i="1"/>
  <c r="AE54" i="1"/>
  <c r="AG54" i="1"/>
  <c r="AI54" i="1"/>
  <c r="AK54" i="1"/>
  <c r="AA144" i="1"/>
  <c r="AC144" i="1"/>
  <c r="AE144" i="1"/>
  <c r="AG144" i="1"/>
  <c r="AI144" i="1"/>
  <c r="AK144" i="1"/>
  <c r="K172" i="1"/>
  <c r="AD172" i="1"/>
  <c r="AA98" i="1"/>
  <c r="AA70" i="1"/>
  <c r="AA171" i="1"/>
  <c r="K99" i="1"/>
  <c r="AB99" i="1"/>
  <c r="K106" i="1"/>
  <c r="AF106" i="1"/>
  <c r="AA168" i="1"/>
  <c r="AA115" i="1"/>
  <c r="AA104" i="1"/>
  <c r="AA105" i="1"/>
  <c r="AC98" i="1"/>
  <c r="AC70" i="1"/>
  <c r="AC171" i="1"/>
  <c r="AD106" i="1"/>
  <c r="AC168" i="1"/>
  <c r="AC115" i="1"/>
  <c r="AC104" i="1"/>
  <c r="AC105" i="1"/>
  <c r="AE98" i="1"/>
  <c r="AE70" i="1"/>
  <c r="AE171" i="1"/>
  <c r="AE168" i="1"/>
  <c r="AE115" i="1"/>
  <c r="AE104" i="1"/>
  <c r="AE105" i="1"/>
  <c r="AH172" i="1"/>
  <c r="AG98" i="1"/>
  <c r="AG168" i="1"/>
  <c r="AH168" i="1"/>
  <c r="AG70" i="1"/>
  <c r="AG171" i="1"/>
  <c r="AH106" i="1"/>
  <c r="AG115" i="1"/>
  <c r="AG104" i="1"/>
  <c r="AG105" i="1"/>
  <c r="AI98" i="1"/>
  <c r="AI168" i="1"/>
  <c r="AJ168" i="1"/>
  <c r="AI70" i="1"/>
  <c r="AI171" i="1"/>
  <c r="AJ106" i="1"/>
  <c r="AI115" i="1"/>
  <c r="AI104" i="1"/>
  <c r="AI105" i="1"/>
  <c r="AL172" i="1"/>
  <c r="AK98" i="1"/>
  <c r="AK70" i="1"/>
  <c r="AK171" i="1"/>
  <c r="AL99" i="1"/>
  <c r="AL106" i="1"/>
  <c r="AK168" i="1"/>
  <c r="AK115" i="1"/>
  <c r="AK104" i="1"/>
  <c r="AK105" i="1"/>
  <c r="Q87" i="1"/>
  <c r="AC22" i="1"/>
  <c r="AE22" i="1"/>
  <c r="AE103" i="1"/>
  <c r="AG22" i="1"/>
  <c r="AG103" i="1"/>
  <c r="AI22" i="1"/>
  <c r="AI103" i="1"/>
  <c r="AK22" i="1"/>
  <c r="AA22" i="1"/>
  <c r="AJ82" i="1"/>
  <c r="AH82" i="1"/>
  <c r="AF82" i="1"/>
  <c r="Z118" i="1"/>
  <c r="AG118" i="1"/>
  <c r="AH118" i="1"/>
  <c r="AA118" i="1"/>
  <c r="AC118" i="1"/>
  <c r="AK118" i="1"/>
  <c r="AN118" i="1"/>
  <c r="AC17" i="1"/>
  <c r="AE17" i="1"/>
  <c r="AG17" i="1"/>
  <c r="AI17" i="1"/>
  <c r="AK17" i="1"/>
  <c r="K62" i="1"/>
  <c r="AD62" i="1"/>
  <c r="AC116" i="1"/>
  <c r="AE116" i="1"/>
  <c r="AG116" i="1"/>
  <c r="AI116" i="1"/>
  <c r="AK116" i="1"/>
  <c r="AC123" i="1"/>
  <c r="AE123" i="1"/>
  <c r="AG123" i="1"/>
  <c r="AI123" i="1"/>
  <c r="AK123" i="1"/>
  <c r="AB62" i="1"/>
  <c r="H183" i="1"/>
  <c r="H201" i="1"/>
  <c r="Z127" i="1"/>
  <c r="Z128" i="1"/>
  <c r="Z129" i="1"/>
  <c r="K183" i="1"/>
  <c r="AH183" i="1"/>
  <c r="K201" i="1"/>
  <c r="AL201" i="1"/>
  <c r="AF183" i="1"/>
  <c r="AD183" i="1"/>
  <c r="AF17" i="1"/>
  <c r="AF37" i="1"/>
  <c r="AF38" i="1"/>
  <c r="AF39" i="1"/>
  <c r="AE40" i="1"/>
  <c r="AF40" i="1"/>
  <c r="AE41" i="1"/>
  <c r="AF41" i="1"/>
  <c r="AE58" i="1"/>
  <c r="AF58" i="1"/>
  <c r="AE59" i="1"/>
  <c r="AF59" i="1"/>
  <c r="AE61" i="1"/>
  <c r="AF61" i="1"/>
  <c r="AE62" i="1"/>
  <c r="Z179" i="1"/>
  <c r="AB179" i="1"/>
  <c r="AD179" i="1"/>
  <c r="AF179" i="1"/>
  <c r="AH179" i="1"/>
  <c r="AJ179" i="1"/>
  <c r="AL179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Z181" i="1"/>
  <c r="AA181" i="1"/>
  <c r="AC181" i="1"/>
  <c r="AE181" i="1"/>
  <c r="AG181" i="1"/>
  <c r="AI181" i="1"/>
  <c r="AK181" i="1"/>
  <c r="Z182" i="1"/>
  <c r="AA182" i="1"/>
  <c r="AC182" i="1"/>
  <c r="AE182" i="1"/>
  <c r="AG182" i="1"/>
  <c r="AI182" i="1"/>
  <c r="AK182" i="1"/>
  <c r="Z183" i="1"/>
  <c r="AA183" i="1"/>
  <c r="AC183" i="1"/>
  <c r="AE183" i="1"/>
  <c r="AG183" i="1"/>
  <c r="AI183" i="1"/>
  <c r="AK183" i="1"/>
  <c r="Z184" i="1"/>
  <c r="AB184" i="1"/>
  <c r="AD184" i="1"/>
  <c r="AF184" i="1"/>
  <c r="AH184" i="1"/>
  <c r="AJ184" i="1"/>
  <c r="AL184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Z187" i="1"/>
  <c r="AA187" i="1"/>
  <c r="AC187" i="1"/>
  <c r="AE187" i="1"/>
  <c r="AG187" i="1"/>
  <c r="AI187" i="1"/>
  <c r="AK187" i="1"/>
  <c r="Z188" i="1"/>
  <c r="AA188" i="1"/>
  <c r="AC188" i="1"/>
  <c r="AE188" i="1"/>
  <c r="AG188" i="1"/>
  <c r="AI188" i="1"/>
  <c r="AK188" i="1"/>
  <c r="Z189" i="1"/>
  <c r="AA189" i="1"/>
  <c r="AC189" i="1"/>
  <c r="AE189" i="1"/>
  <c r="AG189" i="1"/>
  <c r="AI189" i="1"/>
  <c r="AK189" i="1"/>
  <c r="Z190" i="1"/>
  <c r="AB190" i="1"/>
  <c r="AD190" i="1"/>
  <c r="AF190" i="1"/>
  <c r="AH190" i="1"/>
  <c r="AJ190" i="1"/>
  <c r="AL190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Z193" i="1"/>
  <c r="AA193" i="1"/>
  <c r="AC193" i="1"/>
  <c r="AE193" i="1"/>
  <c r="AG193" i="1"/>
  <c r="AI193" i="1"/>
  <c r="AK193" i="1"/>
  <c r="Z194" i="1"/>
  <c r="AA194" i="1"/>
  <c r="AC194" i="1"/>
  <c r="AE194" i="1"/>
  <c r="AG194" i="1"/>
  <c r="AI194" i="1"/>
  <c r="AK194" i="1"/>
  <c r="Z195" i="1"/>
  <c r="AA195" i="1"/>
  <c r="AC195" i="1"/>
  <c r="AE195" i="1"/>
  <c r="AG195" i="1"/>
  <c r="AI195" i="1"/>
  <c r="AK195" i="1"/>
  <c r="Z196" i="1"/>
  <c r="AB196" i="1"/>
  <c r="AD196" i="1"/>
  <c r="AF196" i="1"/>
  <c r="AH196" i="1"/>
  <c r="AJ196" i="1"/>
  <c r="AL196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Z199" i="1"/>
  <c r="AA199" i="1"/>
  <c r="AC199" i="1"/>
  <c r="AE199" i="1"/>
  <c r="AG199" i="1"/>
  <c r="AI199" i="1"/>
  <c r="AK199" i="1"/>
  <c r="Z200" i="1"/>
  <c r="AA200" i="1"/>
  <c r="AC200" i="1"/>
  <c r="AE200" i="1"/>
  <c r="AG200" i="1"/>
  <c r="AI200" i="1"/>
  <c r="AK200" i="1"/>
  <c r="Z201" i="1"/>
  <c r="AA201" i="1"/>
  <c r="AC201" i="1"/>
  <c r="AE201" i="1"/>
  <c r="AG201" i="1"/>
  <c r="AI201" i="1"/>
  <c r="AK201" i="1"/>
  <c r="Z202" i="1"/>
  <c r="AB202" i="1"/>
  <c r="AD202" i="1"/>
  <c r="AF202" i="1"/>
  <c r="AH202" i="1"/>
  <c r="AJ202" i="1"/>
  <c r="AL202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Z204" i="1"/>
  <c r="AA204" i="1"/>
  <c r="AC204" i="1"/>
  <c r="AE204" i="1"/>
  <c r="AG204" i="1"/>
  <c r="AI204" i="1"/>
  <c r="AK204" i="1"/>
  <c r="Z205" i="1"/>
  <c r="AA205" i="1"/>
  <c r="AC205" i="1"/>
  <c r="AE205" i="1"/>
  <c r="AG205" i="1"/>
  <c r="AI205" i="1"/>
  <c r="AK205" i="1"/>
  <c r="Z206" i="1"/>
  <c r="AA206" i="1"/>
  <c r="AC206" i="1"/>
  <c r="AE206" i="1"/>
  <c r="AG206" i="1"/>
  <c r="AI206" i="1"/>
  <c r="AK206" i="1"/>
  <c r="Z207" i="1"/>
  <c r="AB207" i="1"/>
  <c r="AD207" i="1"/>
  <c r="AF207" i="1"/>
  <c r="AH207" i="1"/>
  <c r="AJ207" i="1"/>
  <c r="AL207" i="1"/>
  <c r="AB208" i="1"/>
  <c r="AB209" i="1"/>
  <c r="J202" i="1"/>
  <c r="AN190" i="1"/>
  <c r="AN189" i="1"/>
  <c r="AN184" i="1"/>
  <c r="AN183" i="1"/>
  <c r="H184" i="1"/>
  <c r="J184" i="1"/>
  <c r="AN202" i="1"/>
  <c r="AA176" i="1"/>
  <c r="AA177" i="1"/>
  <c r="AA178" i="1"/>
  <c r="AA151" i="1"/>
  <c r="AA152" i="1"/>
  <c r="AA153" i="1"/>
  <c r="AA154" i="1"/>
  <c r="AA155" i="1"/>
  <c r="AA156" i="1"/>
  <c r="AA157" i="1"/>
  <c r="AA158" i="1"/>
  <c r="AA159" i="1"/>
  <c r="AA160" i="1"/>
  <c r="AA161" i="1"/>
  <c r="AA166" i="1"/>
  <c r="AA167" i="1"/>
  <c r="AA169" i="1"/>
  <c r="AA170" i="1"/>
  <c r="AA172" i="1"/>
  <c r="AA173" i="1"/>
  <c r="AA174" i="1"/>
  <c r="AA175" i="1"/>
  <c r="AB152" i="1"/>
  <c r="AB153" i="1"/>
  <c r="AB154" i="1"/>
  <c r="AB156" i="1"/>
  <c r="AB157" i="1"/>
  <c r="AB158" i="1"/>
  <c r="AB160" i="1"/>
  <c r="AB166" i="1"/>
  <c r="AB167" i="1"/>
  <c r="AB168" i="1"/>
  <c r="AB169" i="1"/>
  <c r="AB170" i="1"/>
  <c r="AB171" i="1"/>
  <c r="AB174" i="1"/>
  <c r="AB175" i="1"/>
  <c r="AC176" i="1"/>
  <c r="AC177" i="1"/>
  <c r="AC178" i="1"/>
  <c r="AC151" i="1"/>
  <c r="AC152" i="1"/>
  <c r="AC153" i="1"/>
  <c r="AC154" i="1"/>
  <c r="AC155" i="1"/>
  <c r="AC156" i="1"/>
  <c r="AC157" i="1"/>
  <c r="AC158" i="1"/>
  <c r="AC159" i="1"/>
  <c r="AC160" i="1"/>
  <c r="AC161" i="1"/>
  <c r="AC166" i="1"/>
  <c r="AC167" i="1"/>
  <c r="AC169" i="1"/>
  <c r="AC170" i="1"/>
  <c r="AC172" i="1"/>
  <c r="AC173" i="1"/>
  <c r="AC174" i="1"/>
  <c r="AC175" i="1"/>
  <c r="AD152" i="1"/>
  <c r="AD153" i="1"/>
  <c r="AD154" i="1"/>
  <c r="AD156" i="1"/>
  <c r="AD157" i="1"/>
  <c r="AD158" i="1"/>
  <c r="AD160" i="1"/>
  <c r="AD166" i="1"/>
  <c r="AD167" i="1"/>
  <c r="AD168" i="1"/>
  <c r="AD169" i="1"/>
  <c r="AD170" i="1"/>
  <c r="AD171" i="1"/>
  <c r="AD174" i="1"/>
  <c r="AD175" i="1"/>
  <c r="AE176" i="1"/>
  <c r="AE177" i="1"/>
  <c r="AE178" i="1"/>
  <c r="AE151" i="1"/>
  <c r="AE152" i="1"/>
  <c r="AE153" i="1"/>
  <c r="AE154" i="1"/>
  <c r="AE155" i="1"/>
  <c r="AE156" i="1"/>
  <c r="AE157" i="1"/>
  <c r="AE158" i="1"/>
  <c r="AE159" i="1"/>
  <c r="AE160" i="1"/>
  <c r="AE161" i="1"/>
  <c r="AE166" i="1"/>
  <c r="AE167" i="1"/>
  <c r="AE169" i="1"/>
  <c r="AE170" i="1"/>
  <c r="AE172" i="1"/>
  <c r="AE173" i="1"/>
  <c r="AE174" i="1"/>
  <c r="AE175" i="1"/>
  <c r="AF152" i="1"/>
  <c r="AF153" i="1"/>
  <c r="AF154" i="1"/>
  <c r="AF156" i="1"/>
  <c r="AF157" i="1"/>
  <c r="AF158" i="1"/>
  <c r="AF160" i="1"/>
  <c r="AF166" i="1"/>
  <c r="AF167" i="1"/>
  <c r="AF168" i="1"/>
  <c r="AF169" i="1"/>
  <c r="AF170" i="1"/>
  <c r="AF171" i="1"/>
  <c r="AF174" i="1"/>
  <c r="AF175" i="1"/>
  <c r="AG176" i="1"/>
  <c r="AG177" i="1"/>
  <c r="AG178" i="1"/>
  <c r="AG151" i="1"/>
  <c r="AG152" i="1"/>
  <c r="AG153" i="1"/>
  <c r="AG154" i="1"/>
  <c r="AG155" i="1"/>
  <c r="AG156" i="1"/>
  <c r="AG157" i="1"/>
  <c r="AG158" i="1"/>
  <c r="AG159" i="1"/>
  <c r="AG160" i="1"/>
  <c r="AG161" i="1"/>
  <c r="AG166" i="1"/>
  <c r="AG167" i="1"/>
  <c r="AG169" i="1"/>
  <c r="AG170" i="1"/>
  <c r="AG172" i="1"/>
  <c r="AG173" i="1"/>
  <c r="AG174" i="1"/>
  <c r="AG175" i="1"/>
  <c r="AH152" i="1"/>
  <c r="AH153" i="1"/>
  <c r="AH154" i="1"/>
  <c r="AH156" i="1"/>
  <c r="AH157" i="1"/>
  <c r="AH158" i="1"/>
  <c r="AH160" i="1"/>
  <c r="AH166" i="1"/>
  <c r="AH167" i="1"/>
  <c r="AH169" i="1"/>
  <c r="AH170" i="1"/>
  <c r="AH171" i="1"/>
  <c r="AH174" i="1"/>
  <c r="AH175" i="1"/>
  <c r="AI176" i="1"/>
  <c r="AI177" i="1"/>
  <c r="AI178" i="1"/>
  <c r="AI151" i="1"/>
  <c r="AI152" i="1"/>
  <c r="AI153" i="1"/>
  <c r="AI154" i="1"/>
  <c r="AI155" i="1"/>
  <c r="AI156" i="1"/>
  <c r="AI157" i="1"/>
  <c r="AI158" i="1"/>
  <c r="AI159" i="1"/>
  <c r="AI160" i="1"/>
  <c r="AI161" i="1"/>
  <c r="AI166" i="1"/>
  <c r="AI167" i="1"/>
  <c r="AI169" i="1"/>
  <c r="AI170" i="1"/>
  <c r="AI172" i="1"/>
  <c r="AI173" i="1"/>
  <c r="AI174" i="1"/>
  <c r="AI175" i="1"/>
  <c r="AJ152" i="1"/>
  <c r="AJ153" i="1"/>
  <c r="AJ154" i="1"/>
  <c r="AJ156" i="1"/>
  <c r="AJ157" i="1"/>
  <c r="AJ158" i="1"/>
  <c r="AJ160" i="1"/>
  <c r="AJ166" i="1"/>
  <c r="AJ167" i="1"/>
  <c r="AJ169" i="1"/>
  <c r="AJ170" i="1"/>
  <c r="AJ171" i="1"/>
  <c r="AJ174" i="1"/>
  <c r="AJ175" i="1"/>
  <c r="AK176" i="1"/>
  <c r="AK177" i="1"/>
  <c r="AK178" i="1"/>
  <c r="AK151" i="1"/>
  <c r="AK152" i="1"/>
  <c r="AK153" i="1"/>
  <c r="AK154" i="1"/>
  <c r="AK155" i="1"/>
  <c r="AK156" i="1"/>
  <c r="AK157" i="1"/>
  <c r="AK158" i="1"/>
  <c r="AK159" i="1"/>
  <c r="AK160" i="1"/>
  <c r="AK161" i="1"/>
  <c r="AK166" i="1"/>
  <c r="AK167" i="1"/>
  <c r="AK169" i="1"/>
  <c r="AK170" i="1"/>
  <c r="AK172" i="1"/>
  <c r="AK173" i="1"/>
  <c r="AK174" i="1"/>
  <c r="AK175" i="1"/>
  <c r="AL150" i="1"/>
  <c r="AL152" i="1"/>
  <c r="AL153" i="1"/>
  <c r="AL154" i="1"/>
  <c r="AL156" i="1"/>
  <c r="AL157" i="1"/>
  <c r="AL158" i="1"/>
  <c r="AL160" i="1"/>
  <c r="AL166" i="1"/>
  <c r="AL167" i="1"/>
  <c r="AL168" i="1"/>
  <c r="AL169" i="1"/>
  <c r="AL170" i="1"/>
  <c r="AL171" i="1"/>
  <c r="AL174" i="1"/>
  <c r="AL175" i="1"/>
  <c r="AN203" i="1"/>
  <c r="AN204" i="1"/>
  <c r="AN205" i="1"/>
  <c r="AL16" i="1"/>
  <c r="AL17" i="1"/>
  <c r="AL18" i="1"/>
  <c r="AL20" i="1"/>
  <c r="AL21" i="1"/>
  <c r="AL22" i="1"/>
  <c r="AL23" i="1"/>
  <c r="AL24" i="1"/>
  <c r="AL25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50" i="1"/>
  <c r="AL51" i="1"/>
  <c r="AL53" i="1"/>
  <c r="AL55" i="1"/>
  <c r="AL56" i="1"/>
  <c r="AL57" i="1"/>
  <c r="AL58" i="1"/>
  <c r="AL59" i="1"/>
  <c r="AL61" i="1"/>
  <c r="AL63" i="1"/>
  <c r="AL64" i="1"/>
  <c r="AL65" i="1"/>
  <c r="AL67" i="1"/>
  <c r="AL68" i="1"/>
  <c r="AL69" i="1"/>
  <c r="AL70" i="1"/>
  <c r="AL71" i="1"/>
  <c r="AL73" i="1"/>
  <c r="AL74" i="1"/>
  <c r="AL75" i="1"/>
  <c r="AL76" i="1"/>
  <c r="AL77" i="1"/>
  <c r="AL78" i="1"/>
  <c r="AL79" i="1"/>
  <c r="AL81" i="1"/>
  <c r="AL82" i="1"/>
  <c r="AL85" i="1"/>
  <c r="AL86" i="1"/>
  <c r="AL87" i="1"/>
  <c r="AL88" i="1"/>
  <c r="AL90" i="1"/>
  <c r="AL91" i="1"/>
  <c r="AL92" i="1"/>
  <c r="AL93" i="1"/>
  <c r="AL95" i="1"/>
  <c r="AL96" i="1"/>
  <c r="AL97" i="1"/>
  <c r="AL98" i="1"/>
  <c r="AL100" i="1"/>
  <c r="AL102" i="1"/>
  <c r="AL104" i="1"/>
  <c r="AL105" i="1"/>
  <c r="AL107" i="1"/>
  <c r="AL109" i="1"/>
  <c r="AL110" i="1"/>
  <c r="AL111" i="1"/>
  <c r="AL112" i="1"/>
  <c r="AL113" i="1"/>
  <c r="AL114" i="1"/>
  <c r="AL115" i="1"/>
  <c r="AL116" i="1"/>
  <c r="AL117" i="1"/>
  <c r="AL120" i="1"/>
  <c r="AL121" i="1"/>
  <c r="AL122" i="1"/>
  <c r="AL123" i="1"/>
  <c r="AL125" i="1"/>
  <c r="AL126" i="1"/>
  <c r="AL127" i="1"/>
  <c r="AL128" i="1"/>
  <c r="AL130" i="1"/>
  <c r="AL131" i="1"/>
  <c r="AL133" i="1"/>
  <c r="AL134" i="1"/>
  <c r="AL136" i="1"/>
  <c r="AL137" i="1"/>
  <c r="AL139" i="1"/>
  <c r="AL140" i="1"/>
  <c r="AL142" i="1"/>
  <c r="AL143" i="1"/>
  <c r="AL144" i="1"/>
  <c r="AL146" i="1"/>
  <c r="AL147" i="1"/>
  <c r="AL148" i="1"/>
  <c r="AK18" i="1"/>
  <c r="AK19" i="1"/>
  <c r="AK20" i="1"/>
  <c r="AK21" i="1"/>
  <c r="AK23" i="1"/>
  <c r="AK25" i="1"/>
  <c r="AK26" i="1"/>
  <c r="AK27" i="1"/>
  <c r="AK28" i="1"/>
  <c r="AK29" i="1"/>
  <c r="AK30" i="1"/>
  <c r="AK31" i="1"/>
  <c r="AK32" i="1"/>
  <c r="AK34" i="1"/>
  <c r="AK35" i="1"/>
  <c r="AK36" i="1"/>
  <c r="AK40" i="1"/>
  <c r="AK41" i="1"/>
  <c r="AK42" i="1"/>
  <c r="AK43" i="1"/>
  <c r="AK44" i="1"/>
  <c r="AK45" i="1"/>
  <c r="AK46" i="1"/>
  <c r="AK47" i="1"/>
  <c r="AK50" i="1"/>
  <c r="AK51" i="1"/>
  <c r="AK53" i="1"/>
  <c r="AK55" i="1"/>
  <c r="AK56" i="1"/>
  <c r="AK57" i="1"/>
  <c r="AK58" i="1"/>
  <c r="AK59" i="1"/>
  <c r="AK61" i="1"/>
  <c r="AK62" i="1"/>
  <c r="AK63" i="1"/>
  <c r="AK64" i="1"/>
  <c r="AK66" i="1"/>
  <c r="AK67" i="1"/>
  <c r="AK68" i="1"/>
  <c r="AK71" i="1"/>
  <c r="AK72" i="1"/>
  <c r="AK73" i="1"/>
  <c r="AK74" i="1"/>
  <c r="AK75" i="1"/>
  <c r="AK77" i="1"/>
  <c r="AK78" i="1"/>
  <c r="AK80" i="1"/>
  <c r="AK81" i="1"/>
  <c r="AK82" i="1"/>
  <c r="AK83" i="1"/>
  <c r="AK85" i="1"/>
  <c r="AK86" i="1"/>
  <c r="AK88" i="1"/>
  <c r="AK89" i="1"/>
  <c r="AK90" i="1"/>
  <c r="AK91" i="1"/>
  <c r="AK92" i="1"/>
  <c r="AK93" i="1"/>
  <c r="AK94" i="1"/>
  <c r="AK95" i="1"/>
  <c r="AK96" i="1"/>
  <c r="AK97" i="1"/>
  <c r="AK99" i="1"/>
  <c r="AK101" i="1"/>
  <c r="AK103" i="1"/>
  <c r="AK106" i="1"/>
  <c r="AK108" i="1"/>
  <c r="AK109" i="1"/>
  <c r="AK110" i="1"/>
  <c r="AK111" i="1"/>
  <c r="AK112" i="1"/>
  <c r="AK113" i="1"/>
  <c r="AK114" i="1"/>
  <c r="AK117" i="1"/>
  <c r="AK119" i="1"/>
  <c r="AK120" i="1"/>
  <c r="AK121" i="1"/>
  <c r="AK122" i="1"/>
  <c r="AK124" i="1"/>
  <c r="AK125" i="1"/>
  <c r="AK126" i="1"/>
  <c r="AK127" i="1"/>
  <c r="AK129" i="1"/>
  <c r="AK132" i="1"/>
  <c r="AK135" i="1"/>
  <c r="AK138" i="1"/>
  <c r="AK139" i="1"/>
  <c r="AK141" i="1"/>
  <c r="AK142" i="1"/>
  <c r="AK143" i="1"/>
  <c r="AK145" i="1"/>
  <c r="AK146" i="1"/>
  <c r="AK147" i="1"/>
  <c r="AK148" i="1"/>
  <c r="AK149" i="1"/>
  <c r="AK150" i="1"/>
  <c r="AN17" i="1"/>
  <c r="AN19" i="1"/>
  <c r="AN20" i="1"/>
  <c r="AN21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50" i="1"/>
  <c r="AN51" i="1"/>
  <c r="AN53" i="1"/>
  <c r="AN54" i="1"/>
  <c r="AN55" i="1"/>
  <c r="AN56" i="1"/>
  <c r="AN57" i="1"/>
  <c r="AN58" i="1"/>
  <c r="AN59" i="1"/>
  <c r="AN61" i="1"/>
  <c r="AN62" i="1"/>
  <c r="AN63" i="1"/>
  <c r="AN64" i="1"/>
  <c r="AN65" i="1"/>
  <c r="AN66" i="1"/>
  <c r="AN67" i="1"/>
  <c r="AN68" i="1"/>
  <c r="AN69" i="1"/>
  <c r="AN71" i="1"/>
  <c r="AN72" i="1"/>
  <c r="AN73" i="1"/>
  <c r="AN74" i="1"/>
  <c r="AN75" i="1"/>
  <c r="AN76" i="1"/>
  <c r="AN77" i="1"/>
  <c r="AN78" i="1"/>
  <c r="AN79" i="1"/>
  <c r="AN80" i="1"/>
  <c r="AN81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5" i="1"/>
  <c r="AN186" i="1"/>
  <c r="AN187" i="1"/>
  <c r="AN188" i="1"/>
  <c r="AN191" i="1"/>
  <c r="AN192" i="1"/>
  <c r="AN193" i="1"/>
  <c r="AN194" i="1"/>
  <c r="AN197" i="1"/>
  <c r="AN198" i="1"/>
  <c r="AN199" i="1"/>
  <c r="AN200" i="1"/>
  <c r="AN16" i="1"/>
  <c r="Z17" i="1"/>
  <c r="Z18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50" i="1"/>
  <c r="Z51" i="1"/>
  <c r="Z53" i="1"/>
  <c r="Z54" i="1"/>
  <c r="Z55" i="1"/>
  <c r="Z56" i="1"/>
  <c r="Z57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100" i="1"/>
  <c r="Z101" i="1"/>
  <c r="Z102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7" i="1"/>
  <c r="Z119" i="1"/>
  <c r="Z120" i="1"/>
  <c r="Z121" i="1"/>
  <c r="Z122" i="1"/>
  <c r="Z123" i="1"/>
  <c r="Z124" i="1"/>
  <c r="Z125" i="1"/>
  <c r="Z126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6" i="1"/>
  <c r="AA17" i="1"/>
  <c r="AB17" i="1"/>
  <c r="AD17" i="1"/>
  <c r="AH17" i="1"/>
  <c r="AJ17" i="1"/>
  <c r="AA18" i="1"/>
  <c r="AB18" i="1"/>
  <c r="AC18" i="1"/>
  <c r="AD18" i="1"/>
  <c r="AE18" i="1"/>
  <c r="AF18" i="1"/>
  <c r="AG18" i="1"/>
  <c r="AH18" i="1"/>
  <c r="AI18" i="1"/>
  <c r="AJ18" i="1"/>
  <c r="AA19" i="1"/>
  <c r="AC19" i="1"/>
  <c r="AE19" i="1"/>
  <c r="AG19" i="1"/>
  <c r="AI19" i="1"/>
  <c r="AA20" i="1"/>
  <c r="AB20" i="1"/>
  <c r="AC20" i="1"/>
  <c r="AD20" i="1"/>
  <c r="AE20" i="1"/>
  <c r="AF20" i="1"/>
  <c r="AG20" i="1"/>
  <c r="AH20" i="1"/>
  <c r="AI20" i="1"/>
  <c r="AJ20" i="1"/>
  <c r="AA21" i="1"/>
  <c r="AB21" i="1"/>
  <c r="AC21" i="1"/>
  <c r="AD21" i="1"/>
  <c r="AE21" i="1"/>
  <c r="AF21" i="1"/>
  <c r="AG21" i="1"/>
  <c r="AH21" i="1"/>
  <c r="AI21" i="1"/>
  <c r="AJ21" i="1"/>
  <c r="AB22" i="1"/>
  <c r="AD22" i="1"/>
  <c r="AF22" i="1"/>
  <c r="AH22" i="1"/>
  <c r="AJ22" i="1"/>
  <c r="AA23" i="1"/>
  <c r="AB23" i="1"/>
  <c r="AC23" i="1"/>
  <c r="AD23" i="1"/>
  <c r="AE23" i="1"/>
  <c r="AF23" i="1"/>
  <c r="AG23" i="1"/>
  <c r="AH23" i="1"/>
  <c r="AI23" i="1"/>
  <c r="AJ23" i="1"/>
  <c r="AB24" i="1"/>
  <c r="AD24" i="1"/>
  <c r="AF24" i="1"/>
  <c r="AH24" i="1"/>
  <c r="AJ24" i="1"/>
  <c r="AA25" i="1"/>
  <c r="AB25" i="1"/>
  <c r="AC25" i="1"/>
  <c r="AD25" i="1"/>
  <c r="AE25" i="1"/>
  <c r="AF25" i="1"/>
  <c r="AG25" i="1"/>
  <c r="AH25" i="1"/>
  <c r="AI25" i="1"/>
  <c r="AJ25" i="1"/>
  <c r="AA26" i="1"/>
  <c r="AC26" i="1"/>
  <c r="AE26" i="1"/>
  <c r="AG26" i="1"/>
  <c r="AI26" i="1"/>
  <c r="AA27" i="1"/>
  <c r="AB27" i="1"/>
  <c r="AC27" i="1"/>
  <c r="AD27" i="1"/>
  <c r="AE27" i="1"/>
  <c r="AF27" i="1"/>
  <c r="AG27" i="1"/>
  <c r="AH27" i="1"/>
  <c r="AI27" i="1"/>
  <c r="AJ27" i="1"/>
  <c r="AA28" i="1"/>
  <c r="AB28" i="1"/>
  <c r="AC28" i="1"/>
  <c r="AD28" i="1"/>
  <c r="AE28" i="1"/>
  <c r="AF28" i="1"/>
  <c r="AG28" i="1"/>
  <c r="AH28" i="1"/>
  <c r="AI28" i="1"/>
  <c r="AJ28" i="1"/>
  <c r="AA29" i="1"/>
  <c r="AB29" i="1"/>
  <c r="AC29" i="1"/>
  <c r="AD29" i="1"/>
  <c r="AE29" i="1"/>
  <c r="AF29" i="1"/>
  <c r="AG29" i="1"/>
  <c r="AH29" i="1"/>
  <c r="AI29" i="1"/>
  <c r="AJ29" i="1"/>
  <c r="AA30" i="1"/>
  <c r="AB30" i="1"/>
  <c r="AC30" i="1"/>
  <c r="AD30" i="1"/>
  <c r="AE30" i="1"/>
  <c r="AF30" i="1"/>
  <c r="AG30" i="1"/>
  <c r="AH30" i="1"/>
  <c r="AI30" i="1"/>
  <c r="AJ30" i="1"/>
  <c r="AA31" i="1"/>
  <c r="AB31" i="1"/>
  <c r="AC31" i="1"/>
  <c r="AD31" i="1"/>
  <c r="AE31" i="1"/>
  <c r="AF31" i="1"/>
  <c r="AG31" i="1"/>
  <c r="AH31" i="1"/>
  <c r="AI31" i="1"/>
  <c r="AJ31" i="1"/>
  <c r="AA32" i="1"/>
  <c r="AB32" i="1"/>
  <c r="AC32" i="1"/>
  <c r="AD32" i="1"/>
  <c r="AE32" i="1"/>
  <c r="AF32" i="1"/>
  <c r="AG32" i="1"/>
  <c r="AH32" i="1"/>
  <c r="AI32" i="1"/>
  <c r="AJ32" i="1"/>
  <c r="AB33" i="1"/>
  <c r="AD33" i="1"/>
  <c r="AF33" i="1"/>
  <c r="AH33" i="1"/>
  <c r="AJ33" i="1"/>
  <c r="AA34" i="1"/>
  <c r="AB34" i="1"/>
  <c r="AC34" i="1"/>
  <c r="AD34" i="1"/>
  <c r="AE34" i="1"/>
  <c r="AF34" i="1"/>
  <c r="AG34" i="1"/>
  <c r="AH34" i="1"/>
  <c r="AI34" i="1"/>
  <c r="AJ34" i="1"/>
  <c r="AA35" i="1"/>
  <c r="AB35" i="1"/>
  <c r="AC35" i="1"/>
  <c r="AD35" i="1"/>
  <c r="AE35" i="1"/>
  <c r="AF35" i="1"/>
  <c r="AG35" i="1"/>
  <c r="AH35" i="1"/>
  <c r="AI35" i="1"/>
  <c r="AJ35" i="1"/>
  <c r="AA36" i="1"/>
  <c r="AB36" i="1"/>
  <c r="AC36" i="1"/>
  <c r="AD36" i="1"/>
  <c r="AE36" i="1"/>
  <c r="AF36" i="1"/>
  <c r="AG36" i="1"/>
  <c r="AH36" i="1"/>
  <c r="AI36" i="1"/>
  <c r="AJ36" i="1"/>
  <c r="AB37" i="1"/>
  <c r="AD37" i="1"/>
  <c r="AH37" i="1"/>
  <c r="AJ37" i="1"/>
  <c r="AB38" i="1"/>
  <c r="AD38" i="1"/>
  <c r="AH38" i="1"/>
  <c r="AJ38" i="1"/>
  <c r="AB39" i="1"/>
  <c r="AD39" i="1"/>
  <c r="AH39" i="1"/>
  <c r="AJ39" i="1"/>
  <c r="AA40" i="1"/>
  <c r="AB40" i="1"/>
  <c r="AC40" i="1"/>
  <c r="AD40" i="1"/>
  <c r="AG40" i="1"/>
  <c r="AH40" i="1"/>
  <c r="AI40" i="1"/>
  <c r="AJ40" i="1"/>
  <c r="AA41" i="1"/>
  <c r="AB41" i="1"/>
  <c r="AC41" i="1"/>
  <c r="AD41" i="1"/>
  <c r="AG41" i="1"/>
  <c r="AH41" i="1"/>
  <c r="AI41" i="1"/>
  <c r="AJ41" i="1"/>
  <c r="AA42" i="1"/>
  <c r="AB42" i="1"/>
  <c r="AC42" i="1"/>
  <c r="AD42" i="1"/>
  <c r="AE42" i="1"/>
  <c r="AF42" i="1"/>
  <c r="AG42" i="1"/>
  <c r="AH42" i="1"/>
  <c r="AI42" i="1"/>
  <c r="AJ42" i="1"/>
  <c r="AA43" i="1"/>
  <c r="AB43" i="1"/>
  <c r="AC43" i="1"/>
  <c r="AD43" i="1"/>
  <c r="AE43" i="1"/>
  <c r="AF43" i="1"/>
  <c r="AG43" i="1"/>
  <c r="AH43" i="1"/>
  <c r="AI43" i="1"/>
  <c r="AJ43" i="1"/>
  <c r="AA44" i="1"/>
  <c r="AB44" i="1"/>
  <c r="AC44" i="1"/>
  <c r="AD44" i="1"/>
  <c r="AE44" i="1"/>
  <c r="AF44" i="1"/>
  <c r="AG44" i="1"/>
  <c r="AH44" i="1"/>
  <c r="AI44" i="1"/>
  <c r="AJ44" i="1"/>
  <c r="AA45" i="1"/>
  <c r="AB45" i="1"/>
  <c r="AC45" i="1"/>
  <c r="AD45" i="1"/>
  <c r="AE45" i="1"/>
  <c r="AF45" i="1"/>
  <c r="AG45" i="1"/>
  <c r="AH45" i="1"/>
  <c r="AI45" i="1"/>
  <c r="AJ45" i="1"/>
  <c r="AA46" i="1"/>
  <c r="AB46" i="1"/>
  <c r="AC46" i="1"/>
  <c r="AD46" i="1"/>
  <c r="AE46" i="1"/>
  <c r="AF46" i="1"/>
  <c r="AG46" i="1"/>
  <c r="AH46" i="1"/>
  <c r="AI46" i="1"/>
  <c r="AJ46" i="1"/>
  <c r="AA47" i="1"/>
  <c r="AB47" i="1"/>
  <c r="AC47" i="1"/>
  <c r="AD47" i="1"/>
  <c r="AE47" i="1"/>
  <c r="AF47" i="1"/>
  <c r="AG47" i="1"/>
  <c r="AH47" i="1"/>
  <c r="AI47" i="1"/>
  <c r="AJ47" i="1"/>
  <c r="AA50" i="1"/>
  <c r="AB50" i="1"/>
  <c r="AC50" i="1"/>
  <c r="AD50" i="1"/>
  <c r="AE50" i="1"/>
  <c r="AF50" i="1"/>
  <c r="AG50" i="1"/>
  <c r="AH50" i="1"/>
  <c r="AI50" i="1"/>
  <c r="AJ50" i="1"/>
  <c r="AA51" i="1"/>
  <c r="AB51" i="1"/>
  <c r="AC51" i="1"/>
  <c r="AD51" i="1"/>
  <c r="AE51" i="1"/>
  <c r="AF51" i="1"/>
  <c r="AG51" i="1"/>
  <c r="AH51" i="1"/>
  <c r="AI51" i="1"/>
  <c r="AJ51" i="1"/>
  <c r="AA53" i="1"/>
  <c r="AB53" i="1"/>
  <c r="AC53" i="1"/>
  <c r="AD53" i="1"/>
  <c r="AE53" i="1"/>
  <c r="AF53" i="1"/>
  <c r="AG53" i="1"/>
  <c r="AH53" i="1"/>
  <c r="AI53" i="1"/>
  <c r="AJ53" i="1"/>
  <c r="AA54" i="1"/>
  <c r="AC54" i="1"/>
  <c r="AA55" i="1"/>
  <c r="AB55" i="1"/>
  <c r="AC55" i="1"/>
  <c r="AD55" i="1"/>
  <c r="AE55" i="1"/>
  <c r="AF55" i="1"/>
  <c r="AG55" i="1"/>
  <c r="AH55" i="1"/>
  <c r="AI55" i="1"/>
  <c r="AJ55" i="1"/>
  <c r="AA56" i="1"/>
  <c r="AB56" i="1"/>
  <c r="AC56" i="1"/>
  <c r="AD56" i="1"/>
  <c r="AE56" i="1"/>
  <c r="AF56" i="1"/>
  <c r="AG56" i="1"/>
  <c r="AH56" i="1"/>
  <c r="AI56" i="1"/>
  <c r="AJ56" i="1"/>
  <c r="AA57" i="1"/>
  <c r="AB57" i="1"/>
  <c r="AC57" i="1"/>
  <c r="AD57" i="1"/>
  <c r="AE57" i="1"/>
  <c r="AF57" i="1"/>
  <c r="AG57" i="1"/>
  <c r="AH57" i="1"/>
  <c r="AI57" i="1"/>
  <c r="AJ57" i="1"/>
  <c r="AA58" i="1"/>
  <c r="AB58" i="1"/>
  <c r="AC58" i="1"/>
  <c r="AD58" i="1"/>
  <c r="AG58" i="1"/>
  <c r="AH58" i="1"/>
  <c r="AI58" i="1"/>
  <c r="AJ58" i="1"/>
  <c r="AA59" i="1"/>
  <c r="AB59" i="1"/>
  <c r="AC59" i="1"/>
  <c r="AD59" i="1"/>
  <c r="AG59" i="1"/>
  <c r="AH59" i="1"/>
  <c r="AI59" i="1"/>
  <c r="AJ59" i="1"/>
  <c r="AA61" i="1"/>
  <c r="AB61" i="1"/>
  <c r="AC61" i="1"/>
  <c r="AD61" i="1"/>
  <c r="AG61" i="1"/>
  <c r="AH61" i="1"/>
  <c r="AI61" i="1"/>
  <c r="AJ61" i="1"/>
  <c r="AA62" i="1"/>
  <c r="AC62" i="1"/>
  <c r="AG62" i="1"/>
  <c r="AI62" i="1"/>
  <c r="AA63" i="1"/>
  <c r="AB63" i="1"/>
  <c r="AC63" i="1"/>
  <c r="AD63" i="1"/>
  <c r="AE63" i="1"/>
  <c r="AF63" i="1"/>
  <c r="AG63" i="1"/>
  <c r="AH63" i="1"/>
  <c r="AI63" i="1"/>
  <c r="AJ63" i="1"/>
  <c r="AA64" i="1"/>
  <c r="AB64" i="1"/>
  <c r="AC64" i="1"/>
  <c r="AD64" i="1"/>
  <c r="AE64" i="1"/>
  <c r="AF64" i="1"/>
  <c r="AG64" i="1"/>
  <c r="AH64" i="1"/>
  <c r="AI64" i="1"/>
  <c r="AJ64" i="1"/>
  <c r="AB65" i="1"/>
  <c r="AD65" i="1"/>
  <c r="AF65" i="1"/>
  <c r="AH65" i="1"/>
  <c r="AJ65" i="1"/>
  <c r="AA66" i="1"/>
  <c r="AC66" i="1"/>
  <c r="AE66" i="1"/>
  <c r="AG66" i="1"/>
  <c r="AI66" i="1"/>
  <c r="AA67" i="1"/>
  <c r="AB67" i="1"/>
  <c r="AC67" i="1"/>
  <c r="AD67" i="1"/>
  <c r="AE67" i="1"/>
  <c r="AF67" i="1"/>
  <c r="AG67" i="1"/>
  <c r="AH67" i="1"/>
  <c r="AI67" i="1"/>
  <c r="AJ67" i="1"/>
  <c r="AA68" i="1"/>
  <c r="AB68" i="1"/>
  <c r="AC68" i="1"/>
  <c r="AD68" i="1"/>
  <c r="AE68" i="1"/>
  <c r="AF68" i="1"/>
  <c r="AG68" i="1"/>
  <c r="AH68" i="1"/>
  <c r="AI68" i="1"/>
  <c r="AJ68" i="1"/>
  <c r="AB69" i="1"/>
  <c r="AD69" i="1"/>
  <c r="AF69" i="1"/>
  <c r="AH69" i="1"/>
  <c r="AJ69" i="1"/>
  <c r="AB70" i="1"/>
  <c r="AD70" i="1"/>
  <c r="AF70" i="1"/>
  <c r="AH70" i="1"/>
  <c r="AJ70" i="1"/>
  <c r="AA71" i="1"/>
  <c r="AB71" i="1"/>
  <c r="AC71" i="1"/>
  <c r="AD71" i="1"/>
  <c r="AE71" i="1"/>
  <c r="AF71" i="1"/>
  <c r="AG71" i="1"/>
  <c r="AH71" i="1"/>
  <c r="AI71" i="1"/>
  <c r="AJ71" i="1"/>
  <c r="AA72" i="1"/>
  <c r="AC72" i="1"/>
  <c r="AE72" i="1"/>
  <c r="AG72" i="1"/>
  <c r="AI72" i="1"/>
  <c r="AA73" i="1"/>
  <c r="AB73" i="1"/>
  <c r="AC73" i="1"/>
  <c r="AD73" i="1"/>
  <c r="AE73" i="1"/>
  <c r="AF73" i="1"/>
  <c r="AG73" i="1"/>
  <c r="AH73" i="1"/>
  <c r="AI73" i="1"/>
  <c r="AJ73" i="1"/>
  <c r="AA74" i="1"/>
  <c r="AB74" i="1"/>
  <c r="AC74" i="1"/>
  <c r="AD74" i="1"/>
  <c r="AE74" i="1"/>
  <c r="AF74" i="1"/>
  <c r="AG74" i="1"/>
  <c r="AH74" i="1"/>
  <c r="AI74" i="1"/>
  <c r="AJ74" i="1"/>
  <c r="AA75" i="1"/>
  <c r="AB75" i="1"/>
  <c r="AC75" i="1"/>
  <c r="AD75" i="1"/>
  <c r="AE75" i="1"/>
  <c r="AF75" i="1"/>
  <c r="AG75" i="1"/>
  <c r="AH75" i="1"/>
  <c r="AI75" i="1"/>
  <c r="AJ75" i="1"/>
  <c r="AB76" i="1"/>
  <c r="AD76" i="1"/>
  <c r="AF76" i="1"/>
  <c r="AH76" i="1"/>
  <c r="AJ76" i="1"/>
  <c r="AA77" i="1"/>
  <c r="AB77" i="1"/>
  <c r="AC77" i="1"/>
  <c r="AD77" i="1"/>
  <c r="AE77" i="1"/>
  <c r="AF77" i="1"/>
  <c r="AG77" i="1"/>
  <c r="AH77" i="1"/>
  <c r="AI77" i="1"/>
  <c r="AJ77" i="1"/>
  <c r="AA78" i="1"/>
  <c r="AB78" i="1"/>
  <c r="AC78" i="1"/>
  <c r="AD78" i="1"/>
  <c r="AE78" i="1"/>
  <c r="AF78" i="1"/>
  <c r="AG78" i="1"/>
  <c r="AH78" i="1"/>
  <c r="AI78" i="1"/>
  <c r="AJ78" i="1"/>
  <c r="AB79" i="1"/>
  <c r="AD79" i="1"/>
  <c r="AF79" i="1"/>
  <c r="AH79" i="1"/>
  <c r="AJ79" i="1"/>
  <c r="AA80" i="1"/>
  <c r="AC80" i="1"/>
  <c r="AE80" i="1"/>
  <c r="AG80" i="1"/>
  <c r="AI80" i="1"/>
  <c r="AA81" i="1"/>
  <c r="AB81" i="1"/>
  <c r="AC81" i="1"/>
  <c r="AD81" i="1"/>
  <c r="AE81" i="1"/>
  <c r="AF81" i="1"/>
  <c r="AG81" i="1"/>
  <c r="AH81" i="1"/>
  <c r="AI81" i="1"/>
  <c r="AJ81" i="1"/>
  <c r="AA82" i="1"/>
  <c r="AB82" i="1"/>
  <c r="AC82" i="1"/>
  <c r="AD82" i="1"/>
  <c r="AE82" i="1"/>
  <c r="AG82" i="1"/>
  <c r="AI82" i="1"/>
  <c r="AA83" i="1"/>
  <c r="AC83" i="1"/>
  <c r="AE83" i="1"/>
  <c r="AG83" i="1"/>
  <c r="AI83" i="1"/>
  <c r="AA85" i="1"/>
  <c r="AB85" i="1"/>
  <c r="AC85" i="1"/>
  <c r="AD85" i="1"/>
  <c r="AE85" i="1"/>
  <c r="AF85" i="1"/>
  <c r="AG85" i="1"/>
  <c r="AH85" i="1"/>
  <c r="AI85" i="1"/>
  <c r="AJ85" i="1"/>
  <c r="AA86" i="1"/>
  <c r="AB86" i="1"/>
  <c r="AC86" i="1"/>
  <c r="AD86" i="1"/>
  <c r="AE86" i="1"/>
  <c r="AF86" i="1"/>
  <c r="AG86" i="1"/>
  <c r="AH86" i="1"/>
  <c r="AI86" i="1"/>
  <c r="AJ86" i="1"/>
  <c r="AB87" i="1"/>
  <c r="AD87" i="1"/>
  <c r="AF87" i="1"/>
  <c r="AH87" i="1"/>
  <c r="AJ87" i="1"/>
  <c r="AA88" i="1"/>
  <c r="AB88" i="1"/>
  <c r="AC88" i="1"/>
  <c r="AD88" i="1"/>
  <c r="AE88" i="1"/>
  <c r="AF88" i="1"/>
  <c r="AG88" i="1"/>
  <c r="AH88" i="1"/>
  <c r="AI88" i="1"/>
  <c r="AJ88" i="1"/>
  <c r="AA89" i="1"/>
  <c r="AC89" i="1"/>
  <c r="AE89" i="1"/>
  <c r="AG89" i="1"/>
  <c r="AI89" i="1"/>
  <c r="AA90" i="1"/>
  <c r="AB90" i="1"/>
  <c r="AC90" i="1"/>
  <c r="AD90" i="1"/>
  <c r="AE90" i="1"/>
  <c r="AF90" i="1"/>
  <c r="AG90" i="1"/>
  <c r="AH90" i="1"/>
  <c r="AI90" i="1"/>
  <c r="AJ90" i="1"/>
  <c r="AA91" i="1"/>
  <c r="AB91" i="1"/>
  <c r="AC91" i="1"/>
  <c r="AD91" i="1"/>
  <c r="AE91" i="1"/>
  <c r="AF91" i="1"/>
  <c r="AG91" i="1"/>
  <c r="AH91" i="1"/>
  <c r="AI91" i="1"/>
  <c r="AJ91" i="1"/>
  <c r="AA92" i="1"/>
  <c r="AB92" i="1"/>
  <c r="AC92" i="1"/>
  <c r="AD92" i="1"/>
  <c r="AE92" i="1"/>
  <c r="AF92" i="1"/>
  <c r="AG92" i="1"/>
  <c r="AH92" i="1"/>
  <c r="AI92" i="1"/>
  <c r="AJ92" i="1"/>
  <c r="AA93" i="1"/>
  <c r="AB93" i="1"/>
  <c r="AC93" i="1"/>
  <c r="AD93" i="1"/>
  <c r="AE93" i="1"/>
  <c r="AF93" i="1"/>
  <c r="AG93" i="1"/>
  <c r="AH93" i="1"/>
  <c r="AI93" i="1"/>
  <c r="AJ93" i="1"/>
  <c r="AA94" i="1"/>
  <c r="AC94" i="1"/>
  <c r="AE94" i="1"/>
  <c r="AG94" i="1"/>
  <c r="AI94" i="1"/>
  <c r="AA95" i="1"/>
  <c r="AB95" i="1"/>
  <c r="AC95" i="1"/>
  <c r="AD95" i="1"/>
  <c r="AE95" i="1"/>
  <c r="AF95" i="1"/>
  <c r="AG95" i="1"/>
  <c r="AH95" i="1"/>
  <c r="AI95" i="1"/>
  <c r="AJ95" i="1"/>
  <c r="AA96" i="1"/>
  <c r="AB96" i="1"/>
  <c r="AC96" i="1"/>
  <c r="AD96" i="1"/>
  <c r="AE96" i="1"/>
  <c r="AF96" i="1"/>
  <c r="AG96" i="1"/>
  <c r="AH96" i="1"/>
  <c r="AI96" i="1"/>
  <c r="AJ96" i="1"/>
  <c r="AA97" i="1"/>
  <c r="AB97" i="1"/>
  <c r="AC97" i="1"/>
  <c r="AD97" i="1"/>
  <c r="AE97" i="1"/>
  <c r="AF97" i="1"/>
  <c r="AG97" i="1"/>
  <c r="AH97" i="1"/>
  <c r="AI97" i="1"/>
  <c r="AJ97" i="1"/>
  <c r="AB98" i="1"/>
  <c r="AD98" i="1"/>
  <c r="AF98" i="1"/>
  <c r="AH98" i="1"/>
  <c r="AJ98" i="1"/>
  <c r="AA99" i="1"/>
  <c r="AC99" i="1"/>
  <c r="AE99" i="1"/>
  <c r="AG99" i="1"/>
  <c r="AI99" i="1"/>
  <c r="AB100" i="1"/>
  <c r="AD100" i="1"/>
  <c r="AF100" i="1"/>
  <c r="AH100" i="1"/>
  <c r="AJ100" i="1"/>
  <c r="AA101" i="1"/>
  <c r="AC101" i="1"/>
  <c r="AE101" i="1"/>
  <c r="AG101" i="1"/>
  <c r="AI101" i="1"/>
  <c r="AB102" i="1"/>
  <c r="AD102" i="1"/>
  <c r="AF102" i="1"/>
  <c r="AH102" i="1"/>
  <c r="AJ102" i="1"/>
  <c r="AA103" i="1"/>
  <c r="AC103" i="1"/>
  <c r="AB104" i="1"/>
  <c r="AD104" i="1"/>
  <c r="AF104" i="1"/>
  <c r="AH104" i="1"/>
  <c r="AJ104" i="1"/>
  <c r="AB105" i="1"/>
  <c r="AD105" i="1"/>
  <c r="AF105" i="1"/>
  <c r="AH105" i="1"/>
  <c r="AJ105" i="1"/>
  <c r="AA106" i="1"/>
  <c r="AC106" i="1"/>
  <c r="AE106" i="1"/>
  <c r="AG106" i="1"/>
  <c r="AI106" i="1"/>
  <c r="AB107" i="1"/>
  <c r="AD107" i="1"/>
  <c r="AF107" i="1"/>
  <c r="AH107" i="1"/>
  <c r="AJ107" i="1"/>
  <c r="AA108" i="1"/>
  <c r="AC108" i="1"/>
  <c r="AE108" i="1"/>
  <c r="AG108" i="1"/>
  <c r="AI108" i="1"/>
  <c r="AA109" i="1"/>
  <c r="AB109" i="1"/>
  <c r="AC109" i="1"/>
  <c r="AD109" i="1"/>
  <c r="AE109" i="1"/>
  <c r="AF109" i="1"/>
  <c r="AG109" i="1"/>
  <c r="AH109" i="1"/>
  <c r="AI109" i="1"/>
  <c r="AJ109" i="1"/>
  <c r="AA110" i="1"/>
  <c r="AB110" i="1"/>
  <c r="AC110" i="1"/>
  <c r="AD110" i="1"/>
  <c r="AE110" i="1"/>
  <c r="AF110" i="1"/>
  <c r="AG110" i="1"/>
  <c r="AH110" i="1"/>
  <c r="AI110" i="1"/>
  <c r="AJ110" i="1"/>
  <c r="AA111" i="1"/>
  <c r="AB111" i="1"/>
  <c r="AC111" i="1"/>
  <c r="AD111" i="1"/>
  <c r="AE111" i="1"/>
  <c r="AF111" i="1"/>
  <c r="AG111" i="1"/>
  <c r="AH111" i="1"/>
  <c r="AI111" i="1"/>
  <c r="AJ111" i="1"/>
  <c r="AA112" i="1"/>
  <c r="AB112" i="1"/>
  <c r="AC112" i="1"/>
  <c r="AD112" i="1"/>
  <c r="AE112" i="1"/>
  <c r="AF112" i="1"/>
  <c r="AG112" i="1"/>
  <c r="AH112" i="1"/>
  <c r="AI112" i="1"/>
  <c r="AJ112" i="1"/>
  <c r="AA113" i="1"/>
  <c r="AB113" i="1"/>
  <c r="AC113" i="1"/>
  <c r="AD113" i="1"/>
  <c r="AE113" i="1"/>
  <c r="AF113" i="1"/>
  <c r="AG113" i="1"/>
  <c r="AH113" i="1"/>
  <c r="AI113" i="1"/>
  <c r="AJ113" i="1"/>
  <c r="AA114" i="1"/>
  <c r="AB114" i="1"/>
  <c r="AC114" i="1"/>
  <c r="AD114" i="1"/>
  <c r="AE114" i="1"/>
  <c r="AF114" i="1"/>
  <c r="AG114" i="1"/>
  <c r="AH114" i="1"/>
  <c r="AI114" i="1"/>
  <c r="AJ114" i="1"/>
  <c r="AB115" i="1"/>
  <c r="AD115" i="1"/>
  <c r="AF115" i="1"/>
  <c r="AH115" i="1"/>
  <c r="AJ115" i="1"/>
  <c r="AA116" i="1"/>
  <c r="AB116" i="1"/>
  <c r="AD116" i="1"/>
  <c r="AF116" i="1"/>
  <c r="AH116" i="1"/>
  <c r="AJ116" i="1"/>
  <c r="AA117" i="1"/>
  <c r="AB117" i="1"/>
  <c r="AC117" i="1"/>
  <c r="AD117" i="1"/>
  <c r="AE117" i="1"/>
  <c r="AF117" i="1"/>
  <c r="AG117" i="1"/>
  <c r="AH117" i="1"/>
  <c r="AI117" i="1"/>
  <c r="AJ117" i="1"/>
  <c r="AA119" i="1"/>
  <c r="AC119" i="1"/>
  <c r="AE119" i="1"/>
  <c r="AG119" i="1"/>
  <c r="AI119" i="1"/>
  <c r="AA120" i="1"/>
  <c r="AB120" i="1"/>
  <c r="AC120" i="1"/>
  <c r="AD120" i="1"/>
  <c r="AE120" i="1"/>
  <c r="AF120" i="1"/>
  <c r="AG120" i="1"/>
  <c r="AH120" i="1"/>
  <c r="AI120" i="1"/>
  <c r="AJ120" i="1"/>
  <c r="AA121" i="1"/>
  <c r="AB121" i="1"/>
  <c r="AC121" i="1"/>
  <c r="AD121" i="1"/>
  <c r="AE121" i="1"/>
  <c r="AF121" i="1"/>
  <c r="AG121" i="1"/>
  <c r="AH121" i="1"/>
  <c r="AI121" i="1"/>
  <c r="AJ121" i="1"/>
  <c r="AA122" i="1"/>
  <c r="AB122" i="1"/>
  <c r="AC122" i="1"/>
  <c r="AD122" i="1"/>
  <c r="AE122" i="1"/>
  <c r="AF122" i="1"/>
  <c r="AG122" i="1"/>
  <c r="AH122" i="1"/>
  <c r="AI122" i="1"/>
  <c r="AJ122" i="1"/>
  <c r="AA123" i="1"/>
  <c r="AB123" i="1"/>
  <c r="AD123" i="1"/>
  <c r="AF123" i="1"/>
  <c r="AH123" i="1"/>
  <c r="AJ123" i="1"/>
  <c r="AA124" i="1"/>
  <c r="AC124" i="1"/>
  <c r="AE124" i="1"/>
  <c r="AG124" i="1"/>
  <c r="AH124" i="1"/>
  <c r="AI124" i="1"/>
  <c r="AA125" i="1"/>
  <c r="AB125" i="1"/>
  <c r="AC125" i="1"/>
  <c r="AD125" i="1"/>
  <c r="AE125" i="1"/>
  <c r="AF125" i="1"/>
  <c r="AG125" i="1"/>
  <c r="AH125" i="1"/>
  <c r="AI125" i="1"/>
  <c r="AJ125" i="1"/>
  <c r="AA126" i="1"/>
  <c r="AB126" i="1"/>
  <c r="AC126" i="1"/>
  <c r="AD126" i="1"/>
  <c r="AE126" i="1"/>
  <c r="AF126" i="1"/>
  <c r="AG126" i="1"/>
  <c r="AH126" i="1"/>
  <c r="AI126" i="1"/>
  <c r="AJ126" i="1"/>
  <c r="AA127" i="1"/>
  <c r="AB127" i="1"/>
  <c r="AC127" i="1"/>
  <c r="AD127" i="1"/>
  <c r="AE127" i="1"/>
  <c r="AF127" i="1"/>
  <c r="AG127" i="1"/>
  <c r="AH127" i="1"/>
  <c r="AI127" i="1"/>
  <c r="AJ127" i="1"/>
  <c r="AB128" i="1"/>
  <c r="AD128" i="1"/>
  <c r="AF128" i="1"/>
  <c r="AH128" i="1"/>
  <c r="AJ128" i="1"/>
  <c r="AA129" i="1"/>
  <c r="AC129" i="1"/>
  <c r="AE129" i="1"/>
  <c r="AG129" i="1"/>
  <c r="AI129" i="1"/>
  <c r="AB130" i="1"/>
  <c r="AD130" i="1"/>
  <c r="AF130" i="1"/>
  <c r="AH130" i="1"/>
  <c r="AJ130" i="1"/>
  <c r="AB131" i="1"/>
  <c r="AD131" i="1"/>
  <c r="AF131" i="1"/>
  <c r="AH131" i="1"/>
  <c r="AJ131" i="1"/>
  <c r="AA132" i="1"/>
  <c r="AC132" i="1"/>
  <c r="AE132" i="1"/>
  <c r="AG132" i="1"/>
  <c r="AI132" i="1"/>
  <c r="AB133" i="1"/>
  <c r="AD133" i="1"/>
  <c r="AF133" i="1"/>
  <c r="AH133" i="1"/>
  <c r="AJ133" i="1"/>
  <c r="AB134" i="1"/>
  <c r="AD134" i="1"/>
  <c r="AF134" i="1"/>
  <c r="AH134" i="1"/>
  <c r="AJ134" i="1"/>
  <c r="AA135" i="1"/>
  <c r="AC135" i="1"/>
  <c r="AE135" i="1"/>
  <c r="AG135" i="1"/>
  <c r="AI135" i="1"/>
  <c r="AB136" i="1"/>
  <c r="AD136" i="1"/>
  <c r="AF136" i="1"/>
  <c r="AH136" i="1"/>
  <c r="AJ136" i="1"/>
  <c r="AB137" i="1"/>
  <c r="AD137" i="1"/>
  <c r="AF137" i="1"/>
  <c r="AH137" i="1"/>
  <c r="AJ137" i="1"/>
  <c r="AA138" i="1"/>
  <c r="AC138" i="1"/>
  <c r="AE138" i="1"/>
  <c r="AG138" i="1"/>
  <c r="AI138" i="1"/>
  <c r="AA139" i="1"/>
  <c r="AB139" i="1"/>
  <c r="AC139" i="1"/>
  <c r="AD139" i="1"/>
  <c r="AE139" i="1"/>
  <c r="AF139" i="1"/>
  <c r="AG139" i="1"/>
  <c r="AH139" i="1"/>
  <c r="AI139" i="1"/>
  <c r="AJ139" i="1"/>
  <c r="AB140" i="1"/>
  <c r="AD140" i="1"/>
  <c r="AF140" i="1"/>
  <c r="AH140" i="1"/>
  <c r="AJ140" i="1"/>
  <c r="AA141" i="1"/>
  <c r="AC141" i="1"/>
  <c r="AE141" i="1"/>
  <c r="AG141" i="1"/>
  <c r="AI141" i="1"/>
  <c r="AA142" i="1"/>
  <c r="AB142" i="1"/>
  <c r="AC142" i="1"/>
  <c r="AD142" i="1"/>
  <c r="AE142" i="1"/>
  <c r="AF142" i="1"/>
  <c r="AG142" i="1"/>
  <c r="AH142" i="1"/>
  <c r="AI142" i="1"/>
  <c r="AJ142" i="1"/>
  <c r="AA143" i="1"/>
  <c r="AB143" i="1"/>
  <c r="AC143" i="1"/>
  <c r="AD143" i="1"/>
  <c r="AE143" i="1"/>
  <c r="AF143" i="1"/>
  <c r="AG143" i="1"/>
  <c r="AH143" i="1"/>
  <c r="AI143" i="1"/>
  <c r="AJ143" i="1"/>
  <c r="AB144" i="1"/>
  <c r="AD144" i="1"/>
  <c r="AF144" i="1"/>
  <c r="AH144" i="1"/>
  <c r="AJ144" i="1"/>
  <c r="AA145" i="1"/>
  <c r="AC145" i="1"/>
  <c r="AE145" i="1"/>
  <c r="AG145" i="1"/>
  <c r="AI145" i="1"/>
  <c r="AA146" i="1"/>
  <c r="AB146" i="1"/>
  <c r="AC146" i="1"/>
  <c r="AD146" i="1"/>
  <c r="AE146" i="1"/>
  <c r="AF146" i="1"/>
  <c r="AG146" i="1"/>
  <c r="AH146" i="1"/>
  <c r="AI146" i="1"/>
  <c r="AJ146" i="1"/>
  <c r="AA147" i="1"/>
  <c r="AB147" i="1"/>
  <c r="AC147" i="1"/>
  <c r="AD147" i="1"/>
  <c r="AE147" i="1"/>
  <c r="AF147" i="1"/>
  <c r="AG147" i="1"/>
  <c r="AH147" i="1"/>
  <c r="AI147" i="1"/>
  <c r="AJ147" i="1"/>
  <c r="AA148" i="1"/>
  <c r="AB148" i="1"/>
  <c r="AC148" i="1"/>
  <c r="AD148" i="1"/>
  <c r="AE148" i="1"/>
  <c r="AF148" i="1"/>
  <c r="AG148" i="1"/>
  <c r="AH148" i="1"/>
  <c r="AI148" i="1"/>
  <c r="AJ148" i="1"/>
  <c r="AA149" i="1"/>
  <c r="AC149" i="1"/>
  <c r="AE149" i="1"/>
  <c r="AG149" i="1"/>
  <c r="AI149" i="1"/>
  <c r="AA150" i="1"/>
  <c r="AB150" i="1"/>
  <c r="AC150" i="1"/>
  <c r="AD150" i="1"/>
  <c r="AE150" i="1"/>
  <c r="AF150" i="1"/>
  <c r="AG150" i="1"/>
  <c r="AH150" i="1"/>
  <c r="AI150" i="1"/>
  <c r="AJ150" i="1"/>
  <c r="AJ16" i="1"/>
  <c r="AH16" i="1"/>
  <c r="AF16" i="1"/>
  <c r="AD16" i="1"/>
  <c r="AB16" i="1"/>
  <c r="K83" i="1"/>
  <c r="K19" i="1"/>
  <c r="K26" i="1"/>
  <c r="K54" i="1"/>
  <c r="K66" i="1"/>
  <c r="K161" i="1"/>
  <c r="K159" i="1"/>
  <c r="K124" i="1"/>
  <c r="K119" i="1"/>
  <c r="AF119" i="1"/>
  <c r="K72" i="1"/>
  <c r="K89" i="1"/>
  <c r="K94" i="1"/>
  <c r="K145" i="1"/>
  <c r="AF145" i="1"/>
  <c r="N80" i="1"/>
  <c r="P80" i="1"/>
  <c r="K101" i="1"/>
  <c r="N103" i="1"/>
  <c r="K103" i="1"/>
  <c r="H103" i="1"/>
  <c r="N108" i="1"/>
  <c r="K108" i="1"/>
  <c r="H108" i="1"/>
  <c r="K129" i="1"/>
  <c r="AF129" i="1"/>
  <c r="K132" i="1"/>
  <c r="AD132" i="1"/>
  <c r="K135" i="1"/>
  <c r="AB135" i="1"/>
  <c r="K138" i="1"/>
  <c r="AH138" i="1"/>
  <c r="K141" i="1"/>
  <c r="AB141" i="1"/>
  <c r="K149" i="1"/>
  <c r="AH149" i="1"/>
  <c r="K151" i="1"/>
  <c r="N107" i="1"/>
  <c r="O107" i="1"/>
  <c r="Q107" i="1"/>
  <c r="P107" i="1"/>
  <c r="N102" i="1"/>
  <c r="O102" i="1"/>
  <c r="R102" i="1"/>
  <c r="S102" i="1"/>
  <c r="T102" i="1"/>
  <c r="U102" i="1"/>
  <c r="V102" i="1"/>
  <c r="H101" i="1"/>
  <c r="Q101" i="1"/>
  <c r="P100" i="1"/>
  <c r="J100" i="1"/>
  <c r="H138" i="1"/>
  <c r="H135" i="1"/>
  <c r="J134" i="1"/>
  <c r="AC134" i="1"/>
  <c r="J128" i="1"/>
  <c r="J24" i="1"/>
  <c r="J33" i="1"/>
  <c r="J37" i="1"/>
  <c r="J38" i="1"/>
  <c r="J39" i="1"/>
  <c r="J69" i="1"/>
  <c r="R87" i="1"/>
  <c r="S87" i="1"/>
  <c r="J130" i="1"/>
  <c r="AG130" i="1"/>
  <c r="J131" i="1"/>
  <c r="AA131" i="1"/>
  <c r="J137" i="1"/>
  <c r="AE137" i="1"/>
  <c r="J140" i="1"/>
  <c r="AG140" i="1"/>
  <c r="K176" i="1"/>
  <c r="J179" i="1"/>
  <c r="K178" i="1"/>
  <c r="H187" i="1"/>
  <c r="H188" i="1"/>
  <c r="H193" i="1"/>
  <c r="H194" i="1"/>
  <c r="H204" i="1"/>
  <c r="H205" i="1"/>
  <c r="T79" i="1"/>
  <c r="Q103" i="1"/>
  <c r="S13" i="1"/>
  <c r="R13" i="1"/>
  <c r="S12" i="1"/>
  <c r="R12" i="1"/>
  <c r="S11" i="1"/>
  <c r="R11" i="1"/>
  <c r="R10" i="1"/>
  <c r="S8" i="1"/>
  <c r="R8" i="1"/>
  <c r="S7" i="1"/>
  <c r="R7" i="1"/>
  <c r="S6" i="1"/>
  <c r="S5" i="1"/>
  <c r="R5" i="1"/>
  <c r="S4" i="1"/>
  <c r="R4" i="1"/>
  <c r="S3" i="1"/>
  <c r="P87" i="1"/>
  <c r="M176" i="1"/>
  <c r="M177" i="1"/>
  <c r="M178" i="1"/>
  <c r="M181" i="1"/>
  <c r="M182" i="1"/>
  <c r="M187" i="1"/>
  <c r="M188" i="1"/>
  <c r="M194" i="1"/>
  <c r="M199" i="1"/>
  <c r="M200" i="1"/>
  <c r="M204" i="1"/>
  <c r="M205" i="1"/>
  <c r="T4" i="1"/>
  <c r="AJ145" i="1"/>
  <c r="AJ135" i="1"/>
  <c r="AB201" i="1"/>
  <c r="AH201" i="1"/>
  <c r="AF99" i="1"/>
  <c r="AF172" i="1"/>
  <c r="AI76" i="1"/>
  <c r="AE76" i="1"/>
  <c r="T8" i="1"/>
  <c r="H141" i="1"/>
  <c r="AB145" i="1"/>
  <c r="AJ129" i="1"/>
  <c r="AB119" i="1"/>
  <c r="AD201" i="1"/>
  <c r="AJ201" i="1"/>
  <c r="AJ172" i="1"/>
  <c r="T12" i="1"/>
  <c r="H129" i="1"/>
  <c r="AF141" i="1"/>
  <c r="AB129" i="1"/>
  <c r="AB172" i="1"/>
  <c r="J102" i="1"/>
  <c r="J79" i="1"/>
  <c r="AC100" i="1"/>
  <c r="AG100" i="1"/>
  <c r="AA100" i="1"/>
  <c r="AE100" i="1"/>
  <c r="AI100" i="1"/>
  <c r="AK100" i="1"/>
  <c r="AD187" i="1"/>
  <c r="AH187" i="1"/>
  <c r="AL187" i="1"/>
  <c r="AB187" i="1"/>
  <c r="AF187" i="1"/>
  <c r="AJ187" i="1"/>
  <c r="AC179" i="1"/>
  <c r="AG179" i="1"/>
  <c r="AK179" i="1"/>
  <c r="AA179" i="1"/>
  <c r="AE179" i="1"/>
  <c r="AI179" i="1"/>
  <c r="AD205" i="1"/>
  <c r="AH205" i="1"/>
  <c r="AL205" i="1"/>
  <c r="AB205" i="1"/>
  <c r="AJ205" i="1"/>
  <c r="AF205" i="1"/>
  <c r="AD193" i="1"/>
  <c r="AH193" i="1"/>
  <c r="AL193" i="1"/>
  <c r="AJ193" i="1"/>
  <c r="AF193" i="1"/>
  <c r="AB193" i="1"/>
  <c r="AC102" i="1"/>
  <c r="AG102" i="1"/>
  <c r="AK102" i="1"/>
  <c r="AA102" i="1"/>
  <c r="AE102" i="1"/>
  <c r="AI102" i="1"/>
  <c r="R3" i="1"/>
  <c r="T3" i="1"/>
  <c r="T5" i="1"/>
  <c r="T7" i="1"/>
  <c r="T11" i="1"/>
  <c r="H206" i="1"/>
  <c r="K206" i="1"/>
  <c r="J207" i="1"/>
  <c r="AF176" i="1"/>
  <c r="AH176" i="1"/>
  <c r="AJ176" i="1"/>
  <c r="AD176" i="1"/>
  <c r="AL176" i="1"/>
  <c r="AB176" i="1"/>
  <c r="J133" i="1"/>
  <c r="AC130" i="1"/>
  <c r="AA130" i="1"/>
  <c r="AE130" i="1"/>
  <c r="AI130" i="1"/>
  <c r="AK130" i="1"/>
  <c r="J87" i="1"/>
  <c r="AC87" i="1"/>
  <c r="AE38" i="1"/>
  <c r="AK38" i="1"/>
  <c r="AC38" i="1"/>
  <c r="AI38" i="1"/>
  <c r="AA38" i="1"/>
  <c r="AG38" i="1"/>
  <c r="AC128" i="1"/>
  <c r="AG128" i="1"/>
  <c r="AK128" i="1"/>
  <c r="AA128" i="1"/>
  <c r="AE128" i="1"/>
  <c r="AI128" i="1"/>
  <c r="R107" i="1"/>
  <c r="J107" i="1"/>
  <c r="AF151" i="1"/>
  <c r="AB151" i="1"/>
  <c r="AJ151" i="1"/>
  <c r="AL151" i="1"/>
  <c r="AD151" i="1"/>
  <c r="AH151" i="1"/>
  <c r="AL135" i="1"/>
  <c r="AD135" i="1"/>
  <c r="AH135" i="1"/>
  <c r="K80" i="1"/>
  <c r="AD89" i="1"/>
  <c r="AH89" i="1"/>
  <c r="AL89" i="1"/>
  <c r="AB89" i="1"/>
  <c r="AF89" i="1"/>
  <c r="AJ89" i="1"/>
  <c r="AL124" i="1"/>
  <c r="AB124" i="1"/>
  <c r="AF124" i="1"/>
  <c r="AJ124" i="1"/>
  <c r="AB161" i="1"/>
  <c r="AJ161" i="1"/>
  <c r="AL161" i="1"/>
  <c r="AD161" i="1"/>
  <c r="AF161" i="1"/>
  <c r="AH161" i="1"/>
  <c r="AL19" i="1"/>
  <c r="AB19" i="1"/>
  <c r="AF19" i="1"/>
  <c r="AJ19" i="1"/>
  <c r="AD19" i="1"/>
  <c r="AH19" i="1"/>
  <c r="K173" i="1"/>
  <c r="AI131" i="1"/>
  <c r="AD124" i="1"/>
  <c r="AD200" i="1"/>
  <c r="AH200" i="1"/>
  <c r="AL200" i="1"/>
  <c r="AB200" i="1"/>
  <c r="AF200" i="1"/>
  <c r="AJ200" i="1"/>
  <c r="AB181" i="1"/>
  <c r="AF181" i="1"/>
  <c r="AJ181" i="1"/>
  <c r="AD181" i="1"/>
  <c r="AH181" i="1"/>
  <c r="AL181" i="1"/>
  <c r="AA140" i="1"/>
  <c r="AE140" i="1"/>
  <c r="AI140" i="1"/>
  <c r="AK140" i="1"/>
  <c r="AC69" i="1"/>
  <c r="AG69" i="1"/>
  <c r="AK69" i="1"/>
  <c r="AA69" i="1"/>
  <c r="AE69" i="1"/>
  <c r="AI69" i="1"/>
  <c r="AE37" i="1"/>
  <c r="AC37" i="1"/>
  <c r="AI37" i="1"/>
  <c r="AA37" i="1"/>
  <c r="AG37" i="1"/>
  <c r="AK37" i="1"/>
  <c r="AK134" i="1"/>
  <c r="AA134" i="1"/>
  <c r="AE134" i="1"/>
  <c r="AI134" i="1"/>
  <c r="AL149" i="1"/>
  <c r="AD149" i="1"/>
  <c r="AL132" i="1"/>
  <c r="AB132" i="1"/>
  <c r="AF132" i="1"/>
  <c r="AJ132" i="1"/>
  <c r="AF103" i="1"/>
  <c r="AH103" i="1"/>
  <c r="AJ103" i="1"/>
  <c r="AL103" i="1"/>
  <c r="AB103" i="1"/>
  <c r="AD103" i="1"/>
  <c r="AB72" i="1"/>
  <c r="AF72" i="1"/>
  <c r="AJ72" i="1"/>
  <c r="AD72" i="1"/>
  <c r="AH72" i="1"/>
  <c r="AL72" i="1"/>
  <c r="AL66" i="1"/>
  <c r="AB66" i="1"/>
  <c r="AF66" i="1"/>
  <c r="AJ66" i="1"/>
  <c r="AD66" i="1"/>
  <c r="AH66" i="1"/>
  <c r="AB149" i="1"/>
  <c r="AA137" i="1"/>
  <c r="AG134" i="1"/>
  <c r="AH132" i="1"/>
  <c r="AL141" i="1"/>
  <c r="AD141" i="1"/>
  <c r="AH141" i="1"/>
  <c r="AL129" i="1"/>
  <c r="AD129" i="1"/>
  <c r="AH129" i="1"/>
  <c r="AL145" i="1"/>
  <c r="AD145" i="1"/>
  <c r="AH145" i="1"/>
  <c r="AF155" i="1"/>
  <c r="AB155" i="1"/>
  <c r="AJ155" i="1"/>
  <c r="AL155" i="1"/>
  <c r="AD155" i="1"/>
  <c r="AH155" i="1"/>
  <c r="AH54" i="1"/>
  <c r="AF54" i="1"/>
  <c r="AL54" i="1"/>
  <c r="AJ54" i="1"/>
  <c r="F7" i="2"/>
  <c r="F7" i="3"/>
  <c r="AB54" i="1"/>
  <c r="AD54" i="1"/>
  <c r="AH83" i="1"/>
  <c r="AJ83" i="1"/>
  <c r="AF83" i="1"/>
  <c r="AB83" i="1"/>
  <c r="AL83" i="1"/>
  <c r="AD83" i="1"/>
  <c r="AJ149" i="1"/>
  <c r="AF149" i="1"/>
  <c r="AJ141" i="1"/>
  <c r="AF135" i="1"/>
  <c r="AB199" i="1"/>
  <c r="AF199" i="1"/>
  <c r="AJ199" i="1"/>
  <c r="AL199" i="1"/>
  <c r="AH199" i="1"/>
  <c r="AD199" i="1"/>
  <c r="H195" i="1"/>
  <c r="K195" i="1"/>
  <c r="J196" i="1"/>
  <c r="H189" i="1"/>
  <c r="K189" i="1"/>
  <c r="J190" i="1"/>
  <c r="AB178" i="1"/>
  <c r="AF178" i="1"/>
  <c r="AL178" i="1"/>
  <c r="AD178" i="1"/>
  <c r="AH178" i="1"/>
  <c r="AJ178" i="1"/>
  <c r="AK137" i="1"/>
  <c r="AC137" i="1"/>
  <c r="AG137" i="1"/>
  <c r="AC65" i="1"/>
  <c r="AG65" i="1"/>
  <c r="AK65" i="1"/>
  <c r="AA65" i="1"/>
  <c r="AE65" i="1"/>
  <c r="AI65" i="1"/>
  <c r="AC33" i="1"/>
  <c r="AG33" i="1"/>
  <c r="AA33" i="1"/>
  <c r="AE33" i="1"/>
  <c r="AI33" i="1"/>
  <c r="AK33" i="1"/>
  <c r="M193" i="1"/>
  <c r="S10" i="1"/>
  <c r="T10" i="1"/>
  <c r="AD204" i="1"/>
  <c r="AH204" i="1"/>
  <c r="AL204" i="1"/>
  <c r="AB204" i="1"/>
  <c r="AF204" i="1"/>
  <c r="AJ204" i="1"/>
  <c r="AB194" i="1"/>
  <c r="AF194" i="1"/>
  <c r="AJ194" i="1"/>
  <c r="AD194" i="1"/>
  <c r="AH194" i="1"/>
  <c r="AL194" i="1"/>
  <c r="AB188" i="1"/>
  <c r="AF188" i="1"/>
  <c r="AJ188" i="1"/>
  <c r="AH188" i="1"/>
  <c r="AD188" i="1"/>
  <c r="AL188" i="1"/>
  <c r="AD182" i="1"/>
  <c r="AH182" i="1"/>
  <c r="AL182" i="1"/>
  <c r="AB182" i="1"/>
  <c r="AF182" i="1"/>
  <c r="AJ182" i="1"/>
  <c r="AD177" i="1"/>
  <c r="AB177" i="1"/>
  <c r="AH177" i="1"/>
  <c r="AJ177" i="1"/>
  <c r="AF177" i="1"/>
  <c r="AL177" i="1"/>
  <c r="AK131" i="1"/>
  <c r="AC131" i="1"/>
  <c r="AG131" i="1"/>
  <c r="AE39" i="1"/>
  <c r="AC39" i="1"/>
  <c r="AI39" i="1"/>
  <c r="AK39" i="1"/>
  <c r="AA39" i="1"/>
  <c r="AG39" i="1"/>
  <c r="AA24" i="1"/>
  <c r="AE24" i="1"/>
  <c r="AI24" i="1"/>
  <c r="AK24" i="1"/>
  <c r="AC24" i="1"/>
  <c r="AG24" i="1"/>
  <c r="H132" i="1"/>
  <c r="AL138" i="1"/>
  <c r="AB138" i="1"/>
  <c r="AF138" i="1"/>
  <c r="AJ138" i="1"/>
  <c r="AL108" i="1"/>
  <c r="AD108" i="1"/>
  <c r="AH108" i="1"/>
  <c r="AB108" i="1"/>
  <c r="AF108" i="1"/>
  <c r="AJ108" i="1"/>
  <c r="AB101" i="1"/>
  <c r="AF101" i="1"/>
  <c r="AJ101" i="1"/>
  <c r="AL101" i="1"/>
  <c r="AD101" i="1"/>
  <c r="AH101" i="1"/>
  <c r="AL94" i="1"/>
  <c r="AB94" i="1"/>
  <c r="B11" i="2"/>
  <c r="AF94" i="1"/>
  <c r="AJ94" i="1"/>
  <c r="AD94" i="1"/>
  <c r="AH94" i="1"/>
  <c r="AL119" i="1"/>
  <c r="AD119" i="1"/>
  <c r="AH119" i="1"/>
  <c r="AF159" i="1"/>
  <c r="AB159" i="1"/>
  <c r="AJ159" i="1"/>
  <c r="AL159" i="1"/>
  <c r="AD159" i="1"/>
  <c r="AH159" i="1"/>
  <c r="AB26" i="1"/>
  <c r="AF26" i="1"/>
  <c r="AJ26" i="1"/>
  <c r="AL26" i="1"/>
  <c r="AD26" i="1"/>
  <c r="AH26" i="1"/>
  <c r="AC140" i="1"/>
  <c r="AD138" i="1"/>
  <c r="AI137" i="1"/>
  <c r="AE131" i="1"/>
  <c r="AJ119" i="1"/>
  <c r="B8" i="2"/>
  <c r="F8" i="2"/>
  <c r="D10" i="2"/>
  <c r="F11" i="2"/>
  <c r="E14" i="2"/>
  <c r="C15" i="2"/>
  <c r="C6" i="2"/>
  <c r="G6" i="2"/>
  <c r="E7" i="2"/>
  <c r="C8" i="2"/>
  <c r="C9" i="2"/>
  <c r="C9" i="3"/>
  <c r="E9" i="2"/>
  <c r="E10" i="2"/>
  <c r="C11" i="2"/>
  <c r="C11" i="3"/>
  <c r="C11" i="4"/>
  <c r="D13" i="2"/>
  <c r="B14" i="2"/>
  <c r="F14" i="2"/>
  <c r="D15" i="2"/>
  <c r="C6" i="3"/>
  <c r="C6" i="4"/>
  <c r="G6" i="3"/>
  <c r="G6" i="4"/>
  <c r="E7" i="3"/>
  <c r="E14" i="3"/>
  <c r="E14" i="4"/>
  <c r="C15" i="3"/>
  <c r="C15" i="4"/>
  <c r="B6" i="2"/>
  <c r="B6" i="3"/>
  <c r="B6" i="4"/>
  <c r="F6" i="2"/>
  <c r="B7" i="2"/>
  <c r="B7" i="3"/>
  <c r="D7" i="2"/>
  <c r="D8" i="2"/>
  <c r="D8" i="3"/>
  <c r="D8" i="4"/>
  <c r="B10" i="2"/>
  <c r="F10" i="2"/>
  <c r="F10" i="3"/>
  <c r="F10" i="4"/>
  <c r="D11" i="2"/>
  <c r="D11" i="3"/>
  <c r="D11" i="4"/>
  <c r="C14" i="2"/>
  <c r="E15" i="2"/>
  <c r="B8" i="3"/>
  <c r="F8" i="3"/>
  <c r="F8" i="4"/>
  <c r="D10" i="3"/>
  <c r="D10" i="4"/>
  <c r="F11" i="3"/>
  <c r="F11" i="4"/>
  <c r="D13" i="3"/>
  <c r="D13" i="4"/>
  <c r="B14" i="3"/>
  <c r="B14" i="4"/>
  <c r="F14" i="3"/>
  <c r="F14" i="4"/>
  <c r="D15" i="3"/>
  <c r="D15" i="4"/>
  <c r="E6" i="2"/>
  <c r="E6" i="3"/>
  <c r="E6" i="4"/>
  <c r="C7" i="2"/>
  <c r="C7" i="3"/>
  <c r="C7" i="4"/>
  <c r="E8" i="2"/>
  <c r="E8" i="3"/>
  <c r="E8" i="4"/>
  <c r="B9" i="2"/>
  <c r="D9" i="2"/>
  <c r="D9" i="3"/>
  <c r="F9" i="2"/>
  <c r="F9" i="3"/>
  <c r="C10" i="2"/>
  <c r="C10" i="3"/>
  <c r="C10" i="4"/>
  <c r="E11" i="2"/>
  <c r="E11" i="3"/>
  <c r="E11" i="4"/>
  <c r="D14" i="2"/>
  <c r="D14" i="3"/>
  <c r="B15" i="2"/>
  <c r="F15" i="2"/>
  <c r="F15" i="3"/>
  <c r="F15" i="4"/>
  <c r="F6" i="3"/>
  <c r="F6" i="4"/>
  <c r="D7" i="3"/>
  <c r="C8" i="3"/>
  <c r="C8" i="4"/>
  <c r="E9" i="3"/>
  <c r="E10" i="3"/>
  <c r="E10" i="4"/>
  <c r="C14" i="3"/>
  <c r="C14" i="4"/>
  <c r="E15" i="3"/>
  <c r="E15" i="4"/>
  <c r="G15" i="2"/>
  <c r="G15" i="3"/>
  <c r="G15" i="4"/>
  <c r="G8" i="2"/>
  <c r="G8" i="3"/>
  <c r="G8" i="4"/>
  <c r="AC202" i="1"/>
  <c r="AG202" i="1"/>
  <c r="AK202" i="1"/>
  <c r="AA202" i="1"/>
  <c r="AE202" i="1"/>
  <c r="AI202" i="1"/>
  <c r="G13" i="2"/>
  <c r="G13" i="3"/>
  <c r="G13" i="4"/>
  <c r="G14" i="2"/>
  <c r="G14" i="3"/>
  <c r="G14" i="4"/>
  <c r="G7" i="2"/>
  <c r="G7" i="3"/>
  <c r="G11" i="2"/>
  <c r="G11" i="3"/>
  <c r="G11" i="4"/>
  <c r="G10" i="2"/>
  <c r="G10" i="3"/>
  <c r="G10" i="4"/>
  <c r="AC184" i="1"/>
  <c r="AG184" i="1"/>
  <c r="AK184" i="1"/>
  <c r="AA184" i="1"/>
  <c r="AE184" i="1"/>
  <c r="AI184" i="1"/>
  <c r="G9" i="2"/>
  <c r="G9" i="3"/>
  <c r="AC79" i="1"/>
  <c r="AE79" i="1"/>
  <c r="AG79" i="1"/>
  <c r="AI79" i="1"/>
  <c r="AK79" i="1"/>
  <c r="AA79" i="1"/>
  <c r="AB183" i="1"/>
  <c r="AJ183" i="1"/>
  <c r="AL183" i="1"/>
  <c r="AJ62" i="1"/>
  <c r="AF62" i="1"/>
  <c r="AB106" i="1"/>
  <c r="B13" i="2"/>
  <c r="AF201" i="1"/>
  <c r="AL62" i="1"/>
  <c r="AH62" i="1"/>
  <c r="AJ99" i="1"/>
  <c r="F13" i="2"/>
  <c r="F13" i="3"/>
  <c r="F13" i="4"/>
  <c r="AH99" i="1"/>
  <c r="E13" i="2"/>
  <c r="E13" i="3"/>
  <c r="E13" i="4"/>
  <c r="AD99" i="1"/>
  <c r="C13" i="2"/>
  <c r="C13" i="3"/>
  <c r="C13" i="4"/>
  <c r="AA87" i="1"/>
  <c r="AK87" i="1"/>
  <c r="AG87" i="1"/>
  <c r="AI87" i="1"/>
  <c r="AE87" i="1"/>
  <c r="F7" i="4"/>
  <c r="G7" i="4"/>
  <c r="D6" i="2"/>
  <c r="D6" i="3"/>
  <c r="D6" i="4"/>
  <c r="H6" i="4"/>
  <c r="B7" i="4"/>
  <c r="H7" i="3"/>
  <c r="H11" i="2"/>
  <c r="B11" i="3"/>
  <c r="H13" i="2"/>
  <c r="B13" i="3"/>
  <c r="AK107" i="1"/>
  <c r="AC107" i="1"/>
  <c r="AG107" i="1"/>
  <c r="AA107" i="1"/>
  <c r="AE107" i="1"/>
  <c r="AI107" i="1"/>
  <c r="R2" i="1"/>
  <c r="D14" i="4"/>
  <c r="H14" i="4"/>
  <c r="H14" i="3"/>
  <c r="E5" i="2"/>
  <c r="H15" i="2"/>
  <c r="B8" i="4"/>
  <c r="H8" i="4"/>
  <c r="H8" i="3"/>
  <c r="H10" i="2"/>
  <c r="AD195" i="1"/>
  <c r="AJ195" i="1"/>
  <c r="AB195" i="1"/>
  <c r="AL195" i="1"/>
  <c r="AH195" i="1"/>
  <c r="AF195" i="1"/>
  <c r="AD173" i="1"/>
  <c r="AB173" i="1"/>
  <c r="AF173" i="1"/>
  <c r="AJ173" i="1"/>
  <c r="AH173" i="1"/>
  <c r="AL173" i="1"/>
  <c r="N173" i="1"/>
  <c r="M173" i="1"/>
  <c r="AD80" i="1"/>
  <c r="AH80" i="1"/>
  <c r="AB80" i="1"/>
  <c r="AF80" i="1"/>
  <c r="AJ80" i="1"/>
  <c r="F19" i="2"/>
  <c r="F19" i="3"/>
  <c r="F19" i="4"/>
  <c r="AL80" i="1"/>
  <c r="H80" i="1"/>
  <c r="S2" i="1"/>
  <c r="AH206" i="1"/>
  <c r="AF206" i="1"/>
  <c r="AL206" i="1"/>
  <c r="AD206" i="1"/>
  <c r="AJ206" i="1"/>
  <c r="AB206" i="1"/>
  <c r="H6" i="2"/>
  <c r="H14" i="2"/>
  <c r="B15" i="3"/>
  <c r="B10" i="3"/>
  <c r="AA190" i="1"/>
  <c r="AE190" i="1"/>
  <c r="AE196" i="1"/>
  <c r="AE207" i="1"/>
  <c r="D12" i="2"/>
  <c r="AI190" i="1"/>
  <c r="AC190" i="1"/>
  <c r="AG190" i="1"/>
  <c r="AK190" i="1"/>
  <c r="D5" i="2"/>
  <c r="F5" i="2"/>
  <c r="G5" i="2"/>
  <c r="B5" i="2"/>
  <c r="H9" i="2"/>
  <c r="H6" i="3"/>
  <c r="E7" i="4"/>
  <c r="AL189" i="1"/>
  <c r="AJ189" i="1"/>
  <c r="AB189" i="1"/>
  <c r="AH189" i="1"/>
  <c r="AF189" i="1"/>
  <c r="AD189" i="1"/>
  <c r="AG133" i="1"/>
  <c r="J136" i="1"/>
  <c r="R6" i="1"/>
  <c r="T6" i="1"/>
  <c r="AE133" i="1"/>
  <c r="AC133" i="1"/>
  <c r="AK133" i="1"/>
  <c r="AI133" i="1"/>
  <c r="AA133" i="1"/>
  <c r="R9" i="1"/>
  <c r="S9" i="1"/>
  <c r="D7" i="4"/>
  <c r="H7" i="2"/>
  <c r="B9" i="3"/>
  <c r="H8" i="2"/>
  <c r="AA196" i="1"/>
  <c r="AI196" i="1"/>
  <c r="AC196" i="1"/>
  <c r="AG196" i="1"/>
  <c r="AK196" i="1"/>
  <c r="C5" i="2"/>
  <c r="K210" i="1"/>
  <c r="M210" i="1"/>
  <c r="AC207" i="1"/>
  <c r="AG207" i="1"/>
  <c r="AK207" i="1"/>
  <c r="AA207" i="1"/>
  <c r="AI207" i="1"/>
  <c r="G5" i="3"/>
  <c r="B5" i="3"/>
  <c r="D5" i="3"/>
  <c r="E5" i="3"/>
  <c r="T9" i="1"/>
  <c r="F12" i="2"/>
  <c r="F17" i="2"/>
  <c r="G12" i="2"/>
  <c r="E12" i="2"/>
  <c r="E17" i="2"/>
  <c r="B12" i="2"/>
  <c r="C12" i="2"/>
  <c r="C12" i="3"/>
  <c r="C12" i="4"/>
  <c r="H5" i="2"/>
  <c r="F12" i="3"/>
  <c r="F12" i="4"/>
  <c r="G12" i="3"/>
  <c r="G12" i="4"/>
  <c r="G17" i="2"/>
  <c r="D12" i="3"/>
  <c r="D12" i="4"/>
  <c r="D17" i="2"/>
  <c r="E12" i="3"/>
  <c r="E12" i="4"/>
  <c r="H12" i="2"/>
  <c r="B12" i="3"/>
  <c r="B17" i="3"/>
  <c r="B17" i="2"/>
  <c r="F5" i="3"/>
  <c r="F5" i="4"/>
  <c r="D19" i="2"/>
  <c r="D19" i="3"/>
  <c r="D19" i="4"/>
  <c r="B13" i="4"/>
  <c r="H13" i="4"/>
  <c r="H13" i="3"/>
  <c r="C5" i="3"/>
  <c r="C17" i="2"/>
  <c r="B9" i="4"/>
  <c r="H9" i="3"/>
  <c r="B10" i="4"/>
  <c r="H10" i="4"/>
  <c r="H10" i="3"/>
  <c r="B19" i="2"/>
  <c r="H7" i="4"/>
  <c r="AI136" i="1"/>
  <c r="F9" i="4"/>
  <c r="AG136" i="1"/>
  <c r="E9" i="4"/>
  <c r="AE136" i="1"/>
  <c r="D9" i="4"/>
  <c r="AC136" i="1"/>
  <c r="C9" i="4"/>
  <c r="AK136" i="1"/>
  <c r="G9" i="4"/>
  <c r="AA136" i="1"/>
  <c r="B15" i="4"/>
  <c r="H15" i="4"/>
  <c r="H15" i="3"/>
  <c r="G19" i="2"/>
  <c r="G19" i="3"/>
  <c r="G19" i="4"/>
  <c r="E19" i="2"/>
  <c r="E19" i="3"/>
  <c r="E19" i="4"/>
  <c r="B11" i="4"/>
  <c r="H11" i="4"/>
  <c r="H11" i="3"/>
  <c r="C19" i="2"/>
  <c r="C19" i="3"/>
  <c r="C19" i="4"/>
  <c r="T2" i="1"/>
  <c r="T13" i="1"/>
  <c r="T14" i="1"/>
  <c r="B5" i="4"/>
  <c r="G5" i="4"/>
  <c r="G17" i="3"/>
  <c r="D5" i="4"/>
  <c r="D17" i="3"/>
  <c r="E5" i="4"/>
  <c r="E17" i="3"/>
  <c r="H16" i="2"/>
  <c r="H17" i="2"/>
  <c r="F17" i="3"/>
  <c r="C17" i="3"/>
  <c r="C5" i="4"/>
  <c r="C17" i="4"/>
  <c r="H5" i="3"/>
  <c r="G17" i="4"/>
  <c r="H9" i="4"/>
  <c r="F17" i="4"/>
  <c r="B12" i="4"/>
  <c r="H12" i="4"/>
  <c r="H12" i="3"/>
  <c r="E17" i="4"/>
  <c r="D17" i="4"/>
  <c r="B19" i="3"/>
  <c r="H19" i="2"/>
  <c r="H16" i="3"/>
  <c r="H17" i="3"/>
  <c r="H5" i="4"/>
  <c r="B17" i="4"/>
  <c r="B19" i="4"/>
  <c r="H19" i="4"/>
  <c r="H19" i="3"/>
  <c r="H16" i="4"/>
  <c r="H17" i="4"/>
</calcChain>
</file>

<file path=xl/sharedStrings.xml><?xml version="1.0" encoding="utf-8"?>
<sst xmlns="http://schemas.openxmlformats.org/spreadsheetml/2006/main" count="555" uniqueCount="301">
  <si>
    <t>HEIMDAL detailed budget</t>
  </si>
  <si>
    <t>Monolith</t>
  </si>
  <si>
    <t>Cost (€)</t>
  </si>
  <si>
    <t>Comments</t>
  </si>
  <si>
    <t>Light shutter</t>
  </si>
  <si>
    <t>Thermal guide</t>
  </si>
  <si>
    <t>Cold guide</t>
  </si>
  <si>
    <t>Cu support 10mm thick, m=2 coated, dimensions LxHxW =500x30x30 mm, the guide is bend low to avoid hitting the thermal chopper</t>
  </si>
  <si>
    <t>Block of Cu/W sandwich - detailed costing expected from ESS</t>
  </si>
  <si>
    <t>Guides</t>
  </si>
  <si>
    <t>The guides are likely to pass through air during this 0.5 m, entry windows/pump facility would represent high cost and low gains</t>
  </si>
  <si>
    <t>Guides are evacuated - windows of Al at the monolith surface</t>
  </si>
  <si>
    <t>2-5.5 m</t>
  </si>
  <si>
    <t>5.5-6 m</t>
  </si>
  <si>
    <t>Guide in vacuum or potentially attached to the vacuum system of the thermal guide and placed on the same extraction system.</t>
  </si>
  <si>
    <t>Chopper</t>
  </si>
  <si>
    <t>Double chopper</t>
  </si>
  <si>
    <t>Manpower</t>
  </si>
  <si>
    <t>Salaries</t>
  </si>
  <si>
    <t>€/h</t>
  </si>
  <si>
    <t>Technician</t>
  </si>
  <si>
    <t>Scientist/Engineer</t>
  </si>
  <si>
    <t>Work time</t>
  </si>
  <si>
    <t>h/year</t>
  </si>
  <si>
    <t>T0-chopper</t>
  </si>
  <si>
    <t>Materials</t>
  </si>
  <si>
    <t>weekly work hours</t>
  </si>
  <si>
    <t>6.6-7m</t>
  </si>
  <si>
    <t>6-6.4 m</t>
  </si>
  <si>
    <t>Bunker plug</t>
  </si>
  <si>
    <t>14.1-18m</t>
  </si>
  <si>
    <t>6-14m</t>
  </si>
  <si>
    <t>7-27m</t>
  </si>
  <si>
    <t>Bunker Chopper</t>
  </si>
  <si>
    <t>Thermal chopper</t>
  </si>
  <si>
    <t>18.1-20m</t>
  </si>
  <si>
    <t>Low speed chopper</t>
  </si>
  <si>
    <t>Pulse shaping chopper, Counter rotating double chopper 140 Hz, disc size 700 mm diameter, openings size 35 mm and 50 mm high (matching guide size)</t>
  </si>
  <si>
    <t>Pulse selection chopper, single chopper 700 mm diameter 14 Hz</t>
  </si>
  <si>
    <t>Prompth pulse suppression chopper 50 mm W + 50 mm W suppression</t>
  </si>
  <si>
    <t>Included in percurement</t>
  </si>
  <si>
    <t>Insertion into thermal guide - Bispectral insertion on Si</t>
  </si>
  <si>
    <t>20m</t>
  </si>
  <si>
    <t>Cold chopper</t>
  </si>
  <si>
    <t>18m</t>
  </si>
  <si>
    <t>6.5 and 7 m is on the same insert</t>
  </si>
  <si>
    <t>Band definition chopper 700 mm diameter speed 14 Hz</t>
  </si>
  <si>
    <t>Shielding</t>
  </si>
  <si>
    <t>Includes cabling and control racks  (2 slots)</t>
  </si>
  <si>
    <t>Guide</t>
  </si>
  <si>
    <t>Bunker Shielding</t>
  </si>
  <si>
    <t>Common guide for thermal and cold neutrons - elliptical shaped guide ending m=2-4 on Cu, guide will end in wall window.</t>
  </si>
  <si>
    <t>Slits</t>
  </si>
  <si>
    <t>Jaw slit system</t>
  </si>
  <si>
    <t>78m</t>
  </si>
  <si>
    <t>Beam plug</t>
  </si>
  <si>
    <t>Frame overlap chopper, low speed chopper 14 Hz, diameter 1280 mm, position at half the distance</t>
  </si>
  <si>
    <t>Concrete</t>
  </si>
  <si>
    <t>hours</t>
  </si>
  <si>
    <t>Experimental cave</t>
  </si>
  <si>
    <t>Diffraction detectors</t>
  </si>
  <si>
    <t>10-150o</t>
  </si>
  <si>
    <t>Detectors</t>
  </si>
  <si>
    <t>Backscattering</t>
  </si>
  <si>
    <t>150-170o</t>
  </si>
  <si>
    <t>190-210o</t>
  </si>
  <si>
    <t>170o-190o</t>
  </si>
  <si>
    <t>Shielding  diffraction</t>
  </si>
  <si>
    <t>Shielding SANS</t>
  </si>
  <si>
    <t>m3</t>
  </si>
  <si>
    <t>€/m2</t>
  </si>
  <si>
    <t>Including travel and accomodation</t>
  </si>
  <si>
    <t>The experimental cave will have access from the top</t>
  </si>
  <si>
    <t>10 m</t>
  </si>
  <si>
    <t>2.5-3.5m</t>
  </si>
  <si>
    <t>150-158m</t>
  </si>
  <si>
    <t>30-150m</t>
  </si>
  <si>
    <t>Heavy shutter</t>
  </si>
  <si>
    <t>Sample tank</t>
  </si>
  <si>
    <t>Detector support</t>
  </si>
  <si>
    <t>Radial collimator</t>
  </si>
  <si>
    <t>01 Shielding</t>
  </si>
  <si>
    <t>02 Neutron Optics</t>
  </si>
  <si>
    <t>03 Choppers</t>
  </si>
  <si>
    <t>04 Sample Environment</t>
  </si>
  <si>
    <t>05 Detector and Beam Monitors</t>
  </si>
  <si>
    <t>06 Data Acquisition and Analysis</t>
  </si>
  <si>
    <t>07 Motion Control and Automation</t>
  </si>
  <si>
    <t>08 Instrument Specific Technical Equipment</t>
  </si>
  <si>
    <t>09 Instrument Infrastructure</t>
  </si>
  <si>
    <t>10 Vacuum</t>
  </si>
  <si>
    <t>11 PSS</t>
  </si>
  <si>
    <t>12 Contingency</t>
  </si>
  <si>
    <t>False floor</t>
  </si>
  <si>
    <t>Diffraction tank</t>
  </si>
  <si>
    <t>SANS tank</t>
  </si>
  <si>
    <t>Steel</t>
  </si>
  <si>
    <t>€/tonne</t>
  </si>
  <si>
    <t>Concrete (normal)</t>
  </si>
  <si>
    <t>Concrete (high density)</t>
  </si>
  <si>
    <t>Machined and ready for installation, density 2.5 tonne/m3</t>
  </si>
  <si>
    <t>Machined and ready for installation, density 6.5 tonne/m3</t>
  </si>
  <si>
    <t>Cabling and control rack</t>
  </si>
  <si>
    <t>Includes cabling and control racks</t>
  </si>
  <si>
    <t>Cupper</t>
  </si>
  <si>
    <t>Raw material price</t>
  </si>
  <si>
    <t>Bunker feed through sandwich materials high density concrete / steel</t>
  </si>
  <si>
    <t>Cost</t>
  </si>
  <si>
    <t>Boralcan</t>
  </si>
  <si>
    <t>The guide hall is assumed to extend all the way up to the instrument detector tank.</t>
  </si>
  <si>
    <t>Thickness x Height x Width (TxHxW)</t>
  </si>
  <si>
    <t>THICKNESS</t>
  </si>
  <si>
    <t>HEIGHT</t>
  </si>
  <si>
    <t>Wall</t>
  </si>
  <si>
    <t>Total</t>
  </si>
  <si>
    <t>tonne</t>
  </si>
  <si>
    <t>€/module</t>
  </si>
  <si>
    <t>Pitt</t>
  </si>
  <si>
    <t>Concrete m3</t>
  </si>
  <si>
    <t>Steel m3</t>
  </si>
  <si>
    <t>Steel roof m3</t>
  </si>
  <si>
    <t>cost €</t>
  </si>
  <si>
    <t>Detector installation is assumed costed at 1 man/year pr. m2</t>
  </si>
  <si>
    <t>Backscattering a/b Detector</t>
  </si>
  <si>
    <t>Backscattering Detector</t>
  </si>
  <si>
    <t>Backscattering detectors at 150-170o is placed 1.5 m from the sample and it consists of 36 segments 1 m heigh 13900 €/m2</t>
  </si>
  <si>
    <t>Backscattering detectors at 190-210o is placed 1.5 m from the sample and it consists of 36 segments 1 m heigh 13900 €/m2</t>
  </si>
  <si>
    <t>Backscattering detectors at 170-190o is placed 1.5 m from the sample and it consists of 72 segments 0.5 m heigh 13900 €/m2, placed in two modules of 36 above and below the sample.</t>
  </si>
  <si>
    <t>210-305o</t>
  </si>
  <si>
    <t>Detector coverage is 95o, distance 1.25 m, height 0.5 m (area 1.05m2) - 132 segments cost 6950 €/m2 (€)</t>
  </si>
  <si>
    <t>Beam monitor</t>
  </si>
  <si>
    <t>158m</t>
  </si>
  <si>
    <t>beam monitor</t>
  </si>
  <si>
    <t>The floor needs to be lifted to the beam height (Price very uncertain) ??</t>
  </si>
  <si>
    <t>Sample table</t>
  </si>
  <si>
    <t>Crane outside cave</t>
  </si>
  <si>
    <t>Extension of falls floor for SANS tank</t>
  </si>
  <si>
    <t>Tank for the diffraction setup to held in Ar atmosphere - V window towards the sample</t>
  </si>
  <si>
    <t>Moving radial collimator wiht 1o separation between blades - background reduction from sample envionment.</t>
  </si>
  <si>
    <t>Crane</t>
  </si>
  <si>
    <t>160-170m</t>
  </si>
  <si>
    <t>160m</t>
  </si>
  <si>
    <t>Trap door</t>
  </si>
  <si>
    <t>Trap door motion</t>
  </si>
  <si>
    <t>Mechanism for opening and closing of door.</t>
  </si>
  <si>
    <t>PSS</t>
  </si>
  <si>
    <t>Personal safety</t>
  </si>
  <si>
    <t>This includes manpower and all installation.</t>
  </si>
  <si>
    <t>170m</t>
  </si>
  <si>
    <t>SANS Detector</t>
  </si>
  <si>
    <t>BandGem (HxW) = (1 x 0.5) =0.5m2 detector placed 10 m from the sample position, off center to the right 1M€/m2</t>
  </si>
  <si>
    <t>SANS Detector A</t>
  </si>
  <si>
    <t>164.5m</t>
  </si>
  <si>
    <t>SANS Detector B</t>
  </si>
  <si>
    <t>BandGem (HxW) = (1 x 0.5) =0.5m2 detector placed 4.5 m from the sample position, covering angles until ~10o</t>
  </si>
  <si>
    <t>Sample environment</t>
  </si>
  <si>
    <t>Robotic sample changer</t>
  </si>
  <si>
    <t>Running multiple samples without intervention</t>
  </si>
  <si>
    <t>Imaging detector</t>
  </si>
  <si>
    <t>160.5m</t>
  </si>
  <si>
    <t>k€</t>
  </si>
  <si>
    <t>Instrument Hutch</t>
  </si>
  <si>
    <t>165m</t>
  </si>
  <si>
    <t>Instrument hutch and laboratory space</t>
  </si>
  <si>
    <t>Lead Engineer</t>
  </si>
  <si>
    <t>Lead Scientist</t>
  </si>
  <si>
    <t>Post doc</t>
  </si>
  <si>
    <t>Instrument specific</t>
  </si>
  <si>
    <t>Phase 1</t>
  </si>
  <si>
    <t>Phase 2</t>
  </si>
  <si>
    <t>Phase 3</t>
  </si>
  <si>
    <t>Phase 4</t>
  </si>
  <si>
    <t>Phase 5</t>
  </si>
  <si>
    <t>Phase 6</t>
  </si>
  <si>
    <t>Man years</t>
  </si>
  <si>
    <t>Option</t>
  </si>
  <si>
    <t>Cu support 10 mm thick, m=2 dimensiosn of LxHxW = 5500x30x30 mm (cold guide ~10k€/m)</t>
  </si>
  <si>
    <t>Guide likely to pass through air / or being attached to the choppe assembly setup - still on Cu support, m=5 (30k€/m)</t>
  </si>
  <si>
    <t>Vaccum guide between choppers (30 k€/m)</t>
  </si>
  <si>
    <t>Cu support 10mm thick, m=4 coated, dimensions LxHxW approx. 500x50x30 mm (~30 k€/m)</t>
  </si>
  <si>
    <t>Vaccum guide varianble m=2 potentially on Cu (20k€/m)</t>
  </si>
  <si>
    <t>30-160m</t>
  </si>
  <si>
    <t>01 Phase 1</t>
  </si>
  <si>
    <t>02 Project Management &amp; Integration</t>
  </si>
  <si>
    <t>03 Design</t>
  </si>
  <si>
    <t>04 Procurement &amp; Fabrication</t>
  </si>
  <si>
    <t>05 Installation</t>
  </si>
  <si>
    <t>06 Cold Commissioning</t>
  </si>
  <si>
    <t>Labour included in above (Person-Years)</t>
  </si>
  <si>
    <t>SANS PSS</t>
  </si>
  <si>
    <t>This includes adaption need for including SANS</t>
  </si>
  <si>
    <t>Salaries are increased by 1.02 per year - general inflation rate</t>
  </si>
  <si>
    <t>The angular support is costed at 1500€ per o</t>
  </si>
  <si>
    <t>Installation</t>
  </si>
  <si>
    <t>per person</t>
  </si>
  <si>
    <t>Placing of the 240 shielding elements (3 hours per piece, for three people) total 720 hours/person</t>
  </si>
  <si>
    <t>€/m3</t>
  </si>
  <si>
    <t>Machined and ready for installation, density 7.9 tonne/m3 - 7.9*1800 = 14220 m3</t>
  </si>
  <si>
    <t>Placing of shielding - assuming blocks of 0.5 m installed at a rate of 1 per four hour with 3 people involved circumference (2x3m*PI) =20 m (40x3x4h + 120h roof) = 600 h</t>
  </si>
  <si>
    <t>Placing of shielding - assuming blocks of 0.5 m installed per 3 hour with 3 people (15*3*3)x2+8*3*3+roof(140)=482h</t>
  </si>
  <si>
    <t>Multi temperature sample changer</t>
  </si>
  <si>
    <t>Multitemperature sample changer capable of running in the temperature interval between 2-800 K.M25</t>
  </si>
  <si>
    <t>Monolith insert, including cooling</t>
  </si>
  <si>
    <t>roof</t>
  </si>
  <si>
    <t>Wall+roof</t>
  </si>
  <si>
    <t>Placing of shielding - assuming blocks of 0.5 m installed per four hour with 3 people involved 16 units (16x3x4) = 192</t>
  </si>
  <si>
    <t>Shielding 1 m thick, placed 2.5 to 3.5 m from the sample with height of 2m (3.5^2-2.5^2)xPIx2 m3 = 38 m3 + steel 0.1m + inner shielding boralcan (3mm) 1000Euro /m^2 (roof and walls) - 31 m2 = 31000€, +0.1 mm steel (26m2),  31*0.1*7.9*4000 = 82160 € (steel roof) 2.7^2*PI*0.350m*7.9 = 54 tons (217112)</t>
  </si>
  <si>
    <t>1x1x0.4 steel slab mounted on ball bearings</t>
  </si>
  <si>
    <t>Shielding 1 m thick, wall 2x(10-2.5*2*1) + end (4x2x1) + roof (10-2.5*4*1) + 0.1m steel + 3 mm boralcan</t>
  </si>
  <si>
    <t>concrete</t>
  </si>
  <si>
    <t>Installation of diffractometer tank, sample table and radial collimator</t>
  </si>
  <si>
    <t>total</t>
  </si>
  <si>
    <t>30-45m</t>
  </si>
  <si>
    <t>Additional shielding</t>
  </si>
  <si>
    <t>Category</t>
  </si>
  <si>
    <t>Travel</t>
  </si>
  <si>
    <t>PSI, IFE, AU</t>
  </si>
  <si>
    <t>Travel (Lead Eng, Sci 2 trips per month)</t>
  </si>
  <si>
    <t>The cost includes travel</t>
  </si>
  <si>
    <t>PSI, IFE, AU (4 weeks/year/partner)</t>
  </si>
  <si>
    <t>Control rack and cabling</t>
  </si>
  <si>
    <t>Common vacuum housing</t>
  </si>
  <si>
    <t>Common vacuum housing and extraction system to remove chopper set from the bunker is needed.</t>
  </si>
  <si>
    <t>Installation, integration, commissioning of choppers</t>
  </si>
  <si>
    <t>Chopper mount</t>
  </si>
  <si>
    <t>Mount that can be extracted through the roof of the bunker</t>
  </si>
  <si>
    <t>Extra concrete 15 m3 + iron (1.2x1x1 0.3 m thick - 2.4 m3) + Boralcan (5m^2)</t>
  </si>
  <si>
    <t>Shielding Guide</t>
  </si>
  <si>
    <t>Beamstop</t>
  </si>
  <si>
    <t>Get lost tube, beamstop and heavy sheilding</t>
  </si>
  <si>
    <t>Control hutch and local preparation of samples.</t>
  </si>
  <si>
    <t>Vacuum housing</t>
  </si>
  <si>
    <t>Additional steel shielding is need just after the bunker due higher m-coating at the start of the ellipse ~100 tonne steel</t>
  </si>
  <si>
    <t>FO chopper pit</t>
  </si>
  <si>
    <t>149,151,153,155m</t>
  </si>
  <si>
    <t>2x concrete walls (0.75 x, 1.3 x 0.5) + roof (0.75 x 2.4 x 0.5) - 1.85 m3 + 10 cm steel in walls (1.3x0.5x0.1) +roof- 240 elements</t>
  </si>
  <si>
    <t>Second ellipse guide going from m=4 to m=1.5-2 in the primary part of the guide. Guide length 30-160m (110m m=2 10k€/m, 20m m=2-5, 30 k€/m)</t>
  </si>
  <si>
    <t>Aarhus- Lund (round trip 480€) including accomodation. (1000 DKK per vej transport (x2), overnatning 1000 DKK, dagpenge 1000)</t>
  </si>
  <si>
    <t>19m</t>
  </si>
  <si>
    <t>12m</t>
  </si>
  <si>
    <t>6.5m</t>
  </si>
  <si>
    <t>7m</t>
  </si>
  <si>
    <t>6.75m</t>
  </si>
  <si>
    <t>Wall 2x1.3x1x2+roof 2x4x1</t>
  </si>
  <si>
    <t>SANS upgrade</t>
  </si>
  <si>
    <t>SANS chopper</t>
  </si>
  <si>
    <t>SANS shielding</t>
  </si>
  <si>
    <t>Choppers</t>
  </si>
  <si>
    <t>Tank</t>
  </si>
  <si>
    <t>Detector</t>
  </si>
  <si>
    <t>SANS Cave</t>
  </si>
  <si>
    <t>0.80 M€</t>
  </si>
  <si>
    <t>0.75 M€</t>
  </si>
  <si>
    <t>0.50 M€</t>
  </si>
  <si>
    <t>0.10 M€</t>
  </si>
  <si>
    <t>0.05 M€</t>
  </si>
  <si>
    <r>
      <t>Detector (Bandgem 1x0.5 m</t>
    </r>
    <r>
      <rPr>
        <vertAlign val="super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)</t>
    </r>
  </si>
  <si>
    <t>Contingency</t>
  </si>
  <si>
    <t>0.35 M€</t>
  </si>
  <si>
    <t>Total cost SANS</t>
  </si>
  <si>
    <t>3.85 M€</t>
  </si>
  <si>
    <t>SANS Tank</t>
  </si>
  <si>
    <t>Total cost</t>
  </si>
  <si>
    <t>Upgradable for imaging</t>
  </si>
  <si>
    <t>Detector (Timepix)</t>
  </si>
  <si>
    <t>Timeline:</t>
  </si>
  <si>
    <t>Phase  4</t>
  </si>
  <si>
    <t>Hot comissioning</t>
  </si>
  <si>
    <t>start 1/5</t>
  </si>
  <si>
    <t>end</t>
  </si>
  <si>
    <t>~1 year</t>
  </si>
  <si>
    <t>Cu support 10 mm thick, m=2-4 Approx. dimension L=3500 mm HxWstart=80x40 mm HxWexit=50x30 (therml guide ~30 k€/m )</t>
  </si>
  <si>
    <t>Vacuum housing to be removed from bunker through the roof.</t>
  </si>
  <si>
    <t>Steel shielding near instrument due to limited space and need for higher absorption 0.35 m (0.3x1.2x0.5)x2+(0.3x1.6x0.5) ~76 tonne</t>
  </si>
  <si>
    <t>SANS</t>
  </si>
  <si>
    <t>Option 1 Detector upgrade</t>
  </si>
  <si>
    <t>Detectors, including support</t>
  </si>
  <si>
    <t>M€</t>
  </si>
  <si>
    <t>Reopening Shielding</t>
  </si>
  <si>
    <t>Upgrade with diffraction detectors 10-150</t>
  </si>
  <si>
    <t>Upgrade to SANS</t>
  </si>
  <si>
    <t>Option 2 SANS upgrade</t>
  </si>
  <si>
    <t>Option 2 upgrade to imaging</t>
  </si>
  <si>
    <t>Total (Imaging upgrade)</t>
  </si>
  <si>
    <t xml:space="preserve"> </t>
  </si>
  <si>
    <t>Bunker (D03)</t>
  </si>
  <si>
    <t>3x trips per month, Aarhus- Lund (round trip 480€) including accomodation. (1000 DKK per vej transport (x2), overnatning 1000 DKK, dagpenge 1000)</t>
  </si>
  <si>
    <t>2x Aarhus-Lund (round trip 480€) including accomodation. (1000 DKK per vej transport (x2), overnatning 1000 DKK, dagpenge 1000)</t>
  </si>
  <si>
    <t>Aarhus-Lund (round trip 480€) including accomodation. (1000 DKK per vej transport (x2), overnatning 1000 DKK, dagpenge 1000) (3 times per month)</t>
  </si>
  <si>
    <t>Guide hall (E02)</t>
  </si>
  <si>
    <t>Instrument hall (E01)</t>
  </si>
  <si>
    <t>Cu-scrapers / W-jaws</t>
  </si>
  <si>
    <t>3x triangular Cu scrappers placed around the thermal guide and tungsten jaws at entry and exit to avoid down streaming.</t>
  </si>
  <si>
    <t>25-28m</t>
  </si>
  <si>
    <t>29m</t>
  </si>
  <si>
    <t>Crane for moving sample environment in and out ( 900 kg) including installation external company.</t>
  </si>
  <si>
    <t>Motion control four axis, x,y,z and omega - load maximum 1000 kg</t>
  </si>
  <si>
    <t>Detector coverage is 140o, distance 1.25 m, height 0.5 m (area 1.527 m2) - 194 segments cost 6950 €/m2 (1328900€) from CDT</t>
  </si>
  <si>
    <t>Beam monitor to assess incoming flux, including cabling and controller hardware</t>
  </si>
  <si>
    <t>4x individual slit systems including motordrive and controller rack</t>
  </si>
  <si>
    <t>ASI timepix 28x28 mm2 with resolution 55x55 µm2, readout 1400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</si>
</sst>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[$€-2]\ #,##0"/>
    <numFmt numFmtId="167" formatCode="_ [$€-2]\ * #,##0_ ;_ [$€-2]\ * \-#,##0_ ;_ [$€-2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mbria"/>
      <family val="1"/>
    </font>
    <font>
      <vertAlign val="superscript"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0" xfId="0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0" xfId="0" applyFill="1" applyBorder="1"/>
    <xf numFmtId="0" fontId="4" fillId="0" borderId="1" xfId="0" applyFont="1" applyBorder="1" applyAlignment="1">
      <alignment vertical="center" wrapText="1"/>
    </xf>
    <xf numFmtId="166" fontId="5" fillId="0" borderId="17" xfId="0" applyNumberFormat="1" applyFont="1" applyBorder="1" applyAlignment="1">
      <alignment horizontal="right" vertical="center" wrapText="1"/>
    </xf>
    <xf numFmtId="166" fontId="4" fillId="0" borderId="17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6" fontId="4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166" fontId="3" fillId="0" borderId="19" xfId="0" applyNumberFormat="1" applyFont="1" applyBorder="1" applyAlignment="1">
      <alignment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20" xfId="0" applyNumberFormat="1" applyFont="1" applyBorder="1" applyAlignment="1">
      <alignment horizontal="right" vertical="center" wrapText="1"/>
    </xf>
    <xf numFmtId="166" fontId="4" fillId="0" borderId="19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vertical="center" wrapText="1"/>
    </xf>
    <xf numFmtId="166" fontId="4" fillId="0" borderId="22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165" fontId="4" fillId="0" borderId="1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7" fontId="0" fillId="0" borderId="0" xfId="0" applyNumberFormat="1"/>
    <xf numFmtId="0" fontId="2" fillId="0" borderId="0" xfId="0" applyFont="1" applyBorder="1" applyAlignment="1">
      <alignment vertical="center" wrapText="1"/>
    </xf>
    <xf numFmtId="2" fontId="0" fillId="0" borderId="0" xfId="0" applyNumberFormat="1" applyBorder="1"/>
    <xf numFmtId="0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165" fontId="0" fillId="0" borderId="0" xfId="0" applyNumberFormat="1" applyBorder="1"/>
    <xf numFmtId="1" fontId="0" fillId="0" borderId="0" xfId="0" applyNumberFormat="1" applyBorder="1" applyAlignment="1">
      <alignment horizontal="left"/>
    </xf>
    <xf numFmtId="0" fontId="6" fillId="0" borderId="26" xfId="0" applyFont="1" applyBorder="1"/>
    <xf numFmtId="0" fontId="0" fillId="0" borderId="27" xfId="0" applyBorder="1"/>
    <xf numFmtId="0" fontId="1" fillId="0" borderId="28" xfId="0" applyFont="1" applyBorder="1"/>
    <xf numFmtId="0" fontId="1" fillId="0" borderId="29" xfId="0" applyFont="1" applyBorder="1"/>
    <xf numFmtId="0" fontId="0" fillId="0" borderId="18" xfId="0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29" xfId="0" applyFont="1" applyBorder="1"/>
    <xf numFmtId="0" fontId="0" fillId="0" borderId="30" xfId="0" applyBorder="1" applyAlignment="1">
      <alignment horizontal="right"/>
    </xf>
    <xf numFmtId="0" fontId="0" fillId="0" borderId="31" xfId="0" applyBorder="1"/>
    <xf numFmtId="0" fontId="0" fillId="0" borderId="17" xfId="0" applyBorder="1"/>
    <xf numFmtId="0" fontId="0" fillId="0" borderId="28" xfId="0" applyBorder="1"/>
    <xf numFmtId="0" fontId="0" fillId="0" borderId="29" xfId="0" applyFont="1" applyBorder="1" applyAlignment="1">
      <alignment horizontal="right"/>
    </xf>
    <xf numFmtId="0" fontId="0" fillId="0" borderId="30" xfId="0" applyBorder="1"/>
    <xf numFmtId="0" fontId="1" fillId="0" borderId="26" xfId="0" applyFont="1" applyBorder="1"/>
    <xf numFmtId="3" fontId="0" fillId="0" borderId="29" xfId="0" quotePrefix="1" applyNumberFormat="1" applyBorder="1"/>
    <xf numFmtId="1" fontId="0" fillId="0" borderId="29" xfId="0" applyNumberFormat="1" applyBorder="1" applyAlignment="1">
      <alignment horizontal="right"/>
    </xf>
    <xf numFmtId="0" fontId="0" fillId="0" borderId="18" xfId="0" applyFill="1" applyBorder="1"/>
    <xf numFmtId="0" fontId="0" fillId="0" borderId="31" xfId="0" applyFill="1" applyBorder="1"/>
    <xf numFmtId="0" fontId="0" fillId="0" borderId="17" xfId="0" applyFill="1" applyBorder="1"/>
    <xf numFmtId="0" fontId="1" fillId="0" borderId="26" xfId="0" applyFont="1" applyBorder="1" applyAlignment="1">
      <alignment horizontal="left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7" fillId="0" borderId="0" xfId="0" applyNumberFormat="1" applyFont="1"/>
    <xf numFmtId="0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166" fontId="4" fillId="0" borderId="0" xfId="0" applyNumberFormat="1" applyFont="1" applyBorder="1" applyAlignment="1">
      <alignment horizontal="right" vertical="center" wrapText="1"/>
    </xf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1" fillId="0" borderId="0" xfId="0" applyFont="1" applyFill="1" applyBorder="1"/>
    <xf numFmtId="1" fontId="0" fillId="0" borderId="28" xfId="0" applyNumberFormat="1" applyBorder="1"/>
    <xf numFmtId="3" fontId="0" fillId="0" borderId="30" xfId="0" quotePrefix="1" applyNumberFormat="1" applyBorder="1"/>
    <xf numFmtId="2" fontId="0" fillId="0" borderId="0" xfId="0" applyNumberFormat="1" applyFill="1" applyBorder="1"/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8" fillId="0" borderId="31" xfId="0" applyFont="1" applyBorder="1" applyAlignment="1">
      <alignment horizontal="right" vertical="center"/>
    </xf>
    <xf numFmtId="2" fontId="0" fillId="0" borderId="0" xfId="0" applyNumberFormat="1"/>
    <xf numFmtId="0" fontId="11" fillId="0" borderId="31" xfId="0" applyFont="1" applyBorder="1" applyAlignment="1">
      <alignment vertical="center"/>
    </xf>
    <xf numFmtId="0" fontId="9" fillId="0" borderId="31" xfId="0" applyFont="1" applyBorder="1"/>
    <xf numFmtId="14" fontId="0" fillId="0" borderId="0" xfId="0" applyNumberFormat="1"/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31" xfId="0" applyFont="1" applyBorder="1" applyAlignment="1">
      <alignment vertical="center"/>
    </xf>
    <xf numFmtId="2" fontId="12" fillId="0" borderId="31" xfId="0" applyNumberFormat="1" applyFont="1" applyBorder="1" applyAlignment="1">
      <alignment horizontal="right" vertical="center"/>
    </xf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1"/>
  <sheetViews>
    <sheetView tabSelected="1" topLeftCell="F1" zoomScaleNormal="100" workbookViewId="0">
      <selection activeCell="H5" sqref="H5"/>
    </sheetView>
  </sheetViews>
  <sheetFormatPr defaultRowHeight="14.4" x14ac:dyDescent="0.55000000000000004"/>
  <cols>
    <col min="1" max="1" width="1.68359375" customWidth="1"/>
    <col min="2" max="2" width="1.7890625" customWidth="1"/>
    <col min="3" max="3" width="4.15625" customWidth="1"/>
    <col min="4" max="4" width="4" customWidth="1"/>
    <col min="5" max="5" width="3.83984375" customWidth="1"/>
    <col min="6" max="6" width="1.83984375" customWidth="1"/>
    <col min="7" max="7" width="4.7890625" customWidth="1"/>
    <col min="8" max="9" width="15.3671875" customWidth="1"/>
    <col min="10" max="10" width="12.3125" customWidth="1"/>
    <col min="11" max="11" width="8.578125" customWidth="1"/>
    <col min="12" max="12" width="2.68359375" customWidth="1"/>
    <col min="13" max="13" width="100.62890625" customWidth="1"/>
    <col min="14" max="14" width="8.3125" customWidth="1"/>
    <col min="15" max="15" width="8.47265625" customWidth="1"/>
    <col min="17" max="17" width="31.62890625" customWidth="1"/>
  </cols>
  <sheetData>
    <row r="1" spans="1:40" s="5" customFormat="1" x14ac:dyDescent="0.55000000000000004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 t="s">
        <v>175</v>
      </c>
      <c r="H1" s="5" t="s">
        <v>0</v>
      </c>
      <c r="R1" s="5" t="s">
        <v>107</v>
      </c>
      <c r="S1" s="5" t="s">
        <v>17</v>
      </c>
      <c r="T1" s="5" t="s">
        <v>160</v>
      </c>
    </row>
    <row r="2" spans="1:40" s="5" customFormat="1" x14ac:dyDescent="0.55000000000000004">
      <c r="H2" s="5" t="s">
        <v>18</v>
      </c>
      <c r="N2" s="104" t="s">
        <v>284</v>
      </c>
      <c r="P2" s="5">
        <v>1</v>
      </c>
      <c r="Q2" s="34" t="s">
        <v>81</v>
      </c>
      <c r="R2" s="5">
        <f>SUMIF(L15:L224,P2,J15:J224)</f>
        <v>2678346.3133800542</v>
      </c>
      <c r="S2" s="5">
        <f>SUMIF(L1:L224,P2,K1:K224)</f>
        <v>222432</v>
      </c>
      <c r="T2" s="14">
        <f t="shared" ref="T2:T11" si="0">SUM(R2:S2)/1000</f>
        <v>2900.778313380054</v>
      </c>
    </row>
    <row r="3" spans="1:40" s="5" customFormat="1" x14ac:dyDescent="0.55000000000000004">
      <c r="H3" s="5" t="s">
        <v>166</v>
      </c>
      <c r="I3" s="5">
        <v>48</v>
      </c>
      <c r="J3" s="5" t="s">
        <v>19</v>
      </c>
      <c r="P3" s="5">
        <v>2</v>
      </c>
      <c r="Q3" s="34" t="s">
        <v>82</v>
      </c>
      <c r="R3" s="5">
        <f t="shared" ref="R3:R13" si="1">SUMIF(L17:L226,P3,J17:J226)</f>
        <v>2505000</v>
      </c>
      <c r="S3" s="5">
        <f t="shared" ref="S3:S11" si="2">SUMIF(L3:L226,P3,K3:K226)</f>
        <v>76800</v>
      </c>
      <c r="T3" s="14">
        <f t="shared" si="0"/>
        <v>2581.8000000000002</v>
      </c>
    </row>
    <row r="4" spans="1:40" s="5" customFormat="1" x14ac:dyDescent="0.55000000000000004">
      <c r="H4" s="5" t="s">
        <v>20</v>
      </c>
      <c r="I4" s="5">
        <v>48</v>
      </c>
      <c r="J4" s="5" t="s">
        <v>19</v>
      </c>
      <c r="M4" s="5" t="s">
        <v>71</v>
      </c>
      <c r="P4" s="5">
        <v>3</v>
      </c>
      <c r="Q4" s="34" t="s">
        <v>83</v>
      </c>
      <c r="R4" s="5">
        <f t="shared" si="1"/>
        <v>1326000</v>
      </c>
      <c r="S4" s="5">
        <f t="shared" si="2"/>
        <v>176640</v>
      </c>
      <c r="T4" s="14">
        <f t="shared" si="0"/>
        <v>1502.64</v>
      </c>
    </row>
    <row r="5" spans="1:40" s="5" customFormat="1" x14ac:dyDescent="0.55000000000000004">
      <c r="H5" s="5" t="s">
        <v>21</v>
      </c>
      <c r="I5" s="5">
        <v>60</v>
      </c>
      <c r="J5" s="5" t="s">
        <v>19</v>
      </c>
      <c r="P5" s="5">
        <v>4</v>
      </c>
      <c r="Q5" s="34" t="s">
        <v>84</v>
      </c>
      <c r="R5" s="5">
        <f t="shared" si="1"/>
        <v>300000</v>
      </c>
      <c r="S5" s="5">
        <f t="shared" si="2"/>
        <v>34560</v>
      </c>
      <c r="T5" s="14">
        <f t="shared" si="0"/>
        <v>334.56</v>
      </c>
    </row>
    <row r="6" spans="1:40" s="5" customFormat="1" x14ac:dyDescent="0.55000000000000004">
      <c r="H6" s="5" t="s">
        <v>22</v>
      </c>
      <c r="I6" s="5">
        <v>1800</v>
      </c>
      <c r="J6" s="5" t="s">
        <v>23</v>
      </c>
      <c r="K6" s="35">
        <v>40</v>
      </c>
      <c r="L6" s="35"/>
      <c r="M6" s="5" t="s">
        <v>26</v>
      </c>
      <c r="P6" s="5">
        <v>5</v>
      </c>
      <c r="Q6" s="34" t="s">
        <v>85</v>
      </c>
      <c r="R6" s="5">
        <f t="shared" si="1"/>
        <v>4534100</v>
      </c>
      <c r="S6" s="5">
        <f t="shared" si="2"/>
        <v>332092.79999999999</v>
      </c>
      <c r="T6" s="14">
        <f t="shared" si="0"/>
        <v>4866.1927999999998</v>
      </c>
    </row>
    <row r="7" spans="1:40" s="5" customFormat="1" x14ac:dyDescent="0.55000000000000004">
      <c r="H7" s="5" t="s">
        <v>96</v>
      </c>
      <c r="I7" s="5">
        <v>1800</v>
      </c>
      <c r="J7" s="5" t="s">
        <v>97</v>
      </c>
      <c r="K7" s="5">
        <v>7.9</v>
      </c>
      <c r="L7" s="35" t="s">
        <v>197</v>
      </c>
      <c r="P7" s="5">
        <v>6</v>
      </c>
      <c r="Q7" s="34" t="s">
        <v>86</v>
      </c>
      <c r="R7" s="5">
        <f t="shared" si="1"/>
        <v>0</v>
      </c>
      <c r="S7" s="5">
        <f t="shared" si="2"/>
        <v>0</v>
      </c>
      <c r="T7" s="14">
        <f t="shared" si="0"/>
        <v>0</v>
      </c>
    </row>
    <row r="8" spans="1:40" s="5" customFormat="1" x14ac:dyDescent="0.55000000000000004">
      <c r="H8" s="5" t="s">
        <v>98</v>
      </c>
      <c r="I8" s="5">
        <v>1800</v>
      </c>
      <c r="J8" s="5" t="s">
        <v>196</v>
      </c>
      <c r="K8" s="5">
        <v>2.5</v>
      </c>
      <c r="L8" s="35" t="s">
        <v>100</v>
      </c>
      <c r="P8" s="5">
        <v>7</v>
      </c>
      <c r="Q8" s="34" t="s">
        <v>87</v>
      </c>
      <c r="R8" s="5">
        <f t="shared" si="1"/>
        <v>530000</v>
      </c>
      <c r="S8" s="5">
        <f t="shared" si="2"/>
        <v>23040</v>
      </c>
      <c r="T8" s="14">
        <f t="shared" si="0"/>
        <v>553.04</v>
      </c>
    </row>
    <row r="9" spans="1:40" s="5" customFormat="1" x14ac:dyDescent="0.55000000000000004">
      <c r="H9" s="5" t="s">
        <v>99</v>
      </c>
      <c r="I9" s="5">
        <v>2600</v>
      </c>
      <c r="J9" s="5" t="s">
        <v>196</v>
      </c>
      <c r="K9" s="5">
        <v>6.5</v>
      </c>
      <c r="L9" s="35" t="s">
        <v>101</v>
      </c>
      <c r="P9" s="5">
        <v>8</v>
      </c>
      <c r="Q9" s="34" t="s">
        <v>88</v>
      </c>
      <c r="R9" s="5">
        <f t="shared" si="1"/>
        <v>137320</v>
      </c>
      <c r="S9" s="5">
        <f t="shared" si="2"/>
        <v>2396160</v>
      </c>
      <c r="T9" s="14">
        <f t="shared" si="0"/>
        <v>2533.48</v>
      </c>
    </row>
    <row r="10" spans="1:40" s="5" customFormat="1" x14ac:dyDescent="0.55000000000000004">
      <c r="H10" s="5" t="s">
        <v>104</v>
      </c>
      <c r="I10" s="5">
        <v>7000</v>
      </c>
      <c r="J10" s="5" t="s">
        <v>97</v>
      </c>
      <c r="L10" s="35" t="s">
        <v>105</v>
      </c>
      <c r="P10" s="5">
        <v>9</v>
      </c>
      <c r="Q10" s="34" t="s">
        <v>89</v>
      </c>
      <c r="R10" s="5">
        <f t="shared" si="1"/>
        <v>2694900</v>
      </c>
      <c r="S10" s="5">
        <f t="shared" si="2"/>
        <v>275520</v>
      </c>
      <c r="T10" s="14">
        <f t="shared" si="0"/>
        <v>2970.42</v>
      </c>
    </row>
    <row r="11" spans="1:40" s="5" customFormat="1" x14ac:dyDescent="0.55000000000000004">
      <c r="H11" s="5" t="s">
        <v>108</v>
      </c>
      <c r="I11" s="5">
        <v>1000</v>
      </c>
      <c r="J11" s="5" t="s">
        <v>70</v>
      </c>
      <c r="K11" s="35"/>
      <c r="L11" s="35"/>
      <c r="P11" s="5">
        <v>10</v>
      </c>
      <c r="Q11" s="34" t="s">
        <v>90</v>
      </c>
      <c r="R11" s="5">
        <f t="shared" si="1"/>
        <v>0</v>
      </c>
      <c r="S11" s="5">
        <f t="shared" si="2"/>
        <v>0</v>
      </c>
      <c r="T11" s="14">
        <f t="shared" si="0"/>
        <v>0</v>
      </c>
    </row>
    <row r="12" spans="1:40" s="5" customFormat="1" x14ac:dyDescent="0.55000000000000004">
      <c r="K12" s="35"/>
      <c r="L12" s="35"/>
      <c r="P12" s="5">
        <v>11</v>
      </c>
      <c r="Q12" s="34" t="s">
        <v>91</v>
      </c>
      <c r="R12" s="5">
        <f t="shared" si="1"/>
        <v>175000</v>
      </c>
      <c r="S12" s="5">
        <f>SUMIF(L13:L235,P12,K13:K235)</f>
        <v>0</v>
      </c>
      <c r="T12" s="14">
        <f>SUM(R12:S12)/1000</f>
        <v>175</v>
      </c>
    </row>
    <row r="13" spans="1:40" s="5" customFormat="1" ht="14.7" thickBot="1" x14ac:dyDescent="0.6">
      <c r="P13" s="5">
        <v>12</v>
      </c>
      <c r="Q13" s="34" t="s">
        <v>92</v>
      </c>
      <c r="R13" s="5">
        <f t="shared" si="1"/>
        <v>0</v>
      </c>
      <c r="S13" s="5">
        <f>SUMIF(L14:L236,P13,K14:K236)</f>
        <v>0</v>
      </c>
      <c r="T13" s="14">
        <f>SUM(T2:T12)*0.1</f>
        <v>1841.7911113380055</v>
      </c>
    </row>
    <row r="14" spans="1:40" s="5" customFormat="1" x14ac:dyDescent="0.55000000000000004">
      <c r="H14" s="44" t="s">
        <v>1</v>
      </c>
      <c r="I14" s="45"/>
      <c r="J14" s="45" t="s">
        <v>2</v>
      </c>
      <c r="K14" s="45"/>
      <c r="L14" s="45"/>
      <c r="M14" s="46" t="s">
        <v>3</v>
      </c>
      <c r="T14" s="14">
        <f>SUM(T2:T13)</f>
        <v>20259.702224718061</v>
      </c>
    </row>
    <row r="15" spans="1:40" s="5" customFormat="1" x14ac:dyDescent="0.55000000000000004">
      <c r="H15" s="47" t="s">
        <v>9</v>
      </c>
      <c r="M15" s="48" t="s">
        <v>11</v>
      </c>
      <c r="Z15" s="5" t="s">
        <v>175</v>
      </c>
      <c r="AA15" s="5" t="s">
        <v>168</v>
      </c>
      <c r="AB15" s="5" t="s">
        <v>17</v>
      </c>
      <c r="AC15" s="5" t="s">
        <v>169</v>
      </c>
      <c r="AD15" s="5" t="s">
        <v>17</v>
      </c>
      <c r="AE15" s="5" t="s">
        <v>170</v>
      </c>
      <c r="AF15" s="15" t="s">
        <v>17</v>
      </c>
      <c r="AG15" s="15" t="s">
        <v>171</v>
      </c>
      <c r="AH15" s="5" t="s">
        <v>17</v>
      </c>
      <c r="AI15" s="15" t="s">
        <v>172</v>
      </c>
      <c r="AJ15" s="5" t="s">
        <v>17</v>
      </c>
      <c r="AK15" s="15" t="s">
        <v>173</v>
      </c>
      <c r="AL15" s="15" t="s">
        <v>17</v>
      </c>
      <c r="AN15" s="15" t="s">
        <v>214</v>
      </c>
    </row>
    <row r="16" spans="1:40" s="5" customFormat="1" x14ac:dyDescent="0.55000000000000004">
      <c r="C16" s="5">
        <v>1</v>
      </c>
      <c r="G16" s="5">
        <v>1</v>
      </c>
      <c r="H16" s="49" t="s">
        <v>12</v>
      </c>
      <c r="I16" s="5" t="s">
        <v>5</v>
      </c>
      <c r="J16" s="5">
        <f>30000*3.5</f>
        <v>105000</v>
      </c>
      <c r="L16" s="5">
        <v>2</v>
      </c>
      <c r="M16" s="48" t="s">
        <v>271</v>
      </c>
      <c r="Z16" s="5">
        <f>G16</f>
        <v>1</v>
      </c>
      <c r="AA16" s="5">
        <f>A16*J16</f>
        <v>0</v>
      </c>
      <c r="AB16" s="5">
        <f>A16*K16</f>
        <v>0</v>
      </c>
      <c r="AC16" s="5">
        <f>B16*J16</f>
        <v>0</v>
      </c>
      <c r="AD16" s="5">
        <f>B16*K16</f>
        <v>0</v>
      </c>
      <c r="AE16" s="5">
        <f>C16*J16</f>
        <v>105000</v>
      </c>
      <c r="AF16" s="5">
        <f>C16*K16</f>
        <v>0</v>
      </c>
      <c r="AG16" s="5">
        <f>D16*J16</f>
        <v>0</v>
      </c>
      <c r="AH16" s="5">
        <f>D16*K16</f>
        <v>0</v>
      </c>
      <c r="AI16" s="5">
        <f>E16*J16</f>
        <v>0</v>
      </c>
      <c r="AJ16" s="5">
        <f>E16*K16</f>
        <v>0</v>
      </c>
      <c r="AK16" s="5">
        <f>F16*J16</f>
        <v>0</v>
      </c>
      <c r="AL16" s="5">
        <f t="shared" ref="AL16:AL83" si="3">F16*K16</f>
        <v>0</v>
      </c>
      <c r="AN16" s="5">
        <f t="shared" ref="AN16:AN49" si="4">L16</f>
        <v>2</v>
      </c>
    </row>
    <row r="17" spans="3:40" s="5" customFormat="1" x14ac:dyDescent="0.55000000000000004">
      <c r="C17" s="5">
        <v>1</v>
      </c>
      <c r="G17" s="5">
        <v>2</v>
      </c>
      <c r="H17" s="49" t="s">
        <v>12</v>
      </c>
      <c r="I17" s="5" t="s">
        <v>6</v>
      </c>
      <c r="J17" s="5">
        <f>3.5*10000</f>
        <v>35000</v>
      </c>
      <c r="L17" s="5">
        <v>2</v>
      </c>
      <c r="M17" s="48" t="s">
        <v>176</v>
      </c>
      <c r="Q17" s="66"/>
      <c r="Z17" s="5">
        <f t="shared" ref="Z17:Z85" si="5">G17</f>
        <v>2</v>
      </c>
      <c r="AA17" s="5">
        <f t="shared" ref="AA17:AA85" si="6">A17*J17</f>
        <v>0</v>
      </c>
      <c r="AB17" s="5">
        <f t="shared" ref="AB17:AB85" si="7">A17*K17</f>
        <v>0</v>
      </c>
      <c r="AC17" s="5">
        <f t="shared" ref="AC17:AC85" si="8">B17*J17</f>
        <v>0</v>
      </c>
      <c r="AD17" s="5">
        <f t="shared" ref="AD17:AD85" si="9">B17*K17</f>
        <v>0</v>
      </c>
      <c r="AE17" s="5">
        <f t="shared" ref="AE17:AE85" si="10">C17*J17</f>
        <v>35000</v>
      </c>
      <c r="AF17" s="5">
        <f t="shared" ref="AF17:AF85" si="11">C17*K17</f>
        <v>0</v>
      </c>
      <c r="AG17" s="5">
        <f t="shared" ref="AG17:AG85" si="12">D17*J17</f>
        <v>0</v>
      </c>
      <c r="AH17" s="5">
        <f t="shared" ref="AH17:AH85" si="13">D17*K17</f>
        <v>0</v>
      </c>
      <c r="AI17" s="5">
        <f t="shared" ref="AI17:AI85" si="14">E17*J17</f>
        <v>0</v>
      </c>
      <c r="AJ17" s="5">
        <f t="shared" ref="AJ17:AJ85" si="15">E17*K17</f>
        <v>0</v>
      </c>
      <c r="AK17" s="5">
        <f t="shared" ref="AK17:AK85" si="16">F17*J17</f>
        <v>0</v>
      </c>
      <c r="AL17" s="5">
        <f t="shared" si="3"/>
        <v>0</v>
      </c>
      <c r="AN17" s="5">
        <f t="shared" si="4"/>
        <v>2</v>
      </c>
    </row>
    <row r="18" spans="3:40" s="5" customFormat="1" x14ac:dyDescent="0.55000000000000004">
      <c r="C18" s="5">
        <v>1</v>
      </c>
      <c r="G18" s="5">
        <v>1</v>
      </c>
      <c r="H18" s="49"/>
      <c r="I18" s="5" t="s">
        <v>55</v>
      </c>
      <c r="J18" s="5">
        <v>60000</v>
      </c>
      <c r="L18" s="5">
        <v>9</v>
      </c>
      <c r="M18" s="48" t="s">
        <v>202</v>
      </c>
      <c r="Z18" s="5">
        <f t="shared" si="5"/>
        <v>1</v>
      </c>
      <c r="AA18" s="5">
        <f t="shared" si="6"/>
        <v>0</v>
      </c>
      <c r="AB18" s="5">
        <f t="shared" si="7"/>
        <v>0</v>
      </c>
      <c r="AC18" s="5">
        <f t="shared" si="8"/>
        <v>0</v>
      </c>
      <c r="AD18" s="5">
        <f t="shared" si="9"/>
        <v>0</v>
      </c>
      <c r="AE18" s="5">
        <f t="shared" si="10"/>
        <v>60000</v>
      </c>
      <c r="AF18" s="5">
        <f t="shared" si="11"/>
        <v>0</v>
      </c>
      <c r="AG18" s="5">
        <f t="shared" si="12"/>
        <v>0</v>
      </c>
      <c r="AH18" s="5">
        <f t="shared" si="13"/>
        <v>0</v>
      </c>
      <c r="AI18" s="5">
        <f t="shared" si="14"/>
        <v>0</v>
      </c>
      <c r="AJ18" s="5">
        <f t="shared" si="15"/>
        <v>0</v>
      </c>
      <c r="AK18" s="5">
        <f t="shared" si="16"/>
        <v>0</v>
      </c>
      <c r="AL18" s="5">
        <f t="shared" si="3"/>
        <v>0</v>
      </c>
      <c r="AN18" s="5">
        <f t="shared" si="4"/>
        <v>9</v>
      </c>
    </row>
    <row r="19" spans="3:40" s="5" customFormat="1" x14ac:dyDescent="0.55000000000000004">
      <c r="C19" s="5">
        <v>1</v>
      </c>
      <c r="G19" s="5">
        <v>1</v>
      </c>
      <c r="H19" s="50">
        <v>16</v>
      </c>
      <c r="I19" s="5" t="s">
        <v>17</v>
      </c>
      <c r="K19" s="5">
        <f>$K$6*$I$4*H19</f>
        <v>30720</v>
      </c>
      <c r="L19" s="5">
        <v>2</v>
      </c>
      <c r="M19" s="48"/>
      <c r="Z19" s="5">
        <f t="shared" si="5"/>
        <v>1</v>
      </c>
      <c r="AA19" s="5">
        <f t="shared" si="6"/>
        <v>0</v>
      </c>
      <c r="AB19" s="5">
        <f t="shared" si="7"/>
        <v>0</v>
      </c>
      <c r="AC19" s="5">
        <f t="shared" si="8"/>
        <v>0</v>
      </c>
      <c r="AD19" s="5">
        <f t="shared" si="9"/>
        <v>0</v>
      </c>
      <c r="AE19" s="5">
        <f t="shared" si="10"/>
        <v>0</v>
      </c>
      <c r="AF19" s="5">
        <f t="shared" si="11"/>
        <v>30720</v>
      </c>
      <c r="AG19" s="5">
        <f t="shared" si="12"/>
        <v>0</v>
      </c>
      <c r="AH19" s="5">
        <f t="shared" si="13"/>
        <v>0</v>
      </c>
      <c r="AI19" s="5">
        <f t="shared" si="14"/>
        <v>0</v>
      </c>
      <c r="AJ19" s="5">
        <f t="shared" si="15"/>
        <v>0</v>
      </c>
      <c r="AK19" s="5">
        <f t="shared" si="16"/>
        <v>0</v>
      </c>
      <c r="AL19" s="5">
        <f t="shared" si="3"/>
        <v>0</v>
      </c>
      <c r="AN19" s="5">
        <f t="shared" si="4"/>
        <v>2</v>
      </c>
    </row>
    <row r="20" spans="3:40" s="5" customFormat="1" x14ac:dyDescent="0.55000000000000004">
      <c r="H20" s="50"/>
      <c r="M20" s="48"/>
      <c r="Z20" s="5">
        <f t="shared" si="5"/>
        <v>0</v>
      </c>
      <c r="AA20" s="5">
        <f t="shared" si="6"/>
        <v>0</v>
      </c>
      <c r="AB20" s="5">
        <f t="shared" si="7"/>
        <v>0</v>
      </c>
      <c r="AC20" s="5">
        <f t="shared" si="8"/>
        <v>0</v>
      </c>
      <c r="AD20" s="5">
        <f t="shared" si="9"/>
        <v>0</v>
      </c>
      <c r="AE20" s="5">
        <f t="shared" si="10"/>
        <v>0</v>
      </c>
      <c r="AF20" s="5">
        <f t="shared" si="11"/>
        <v>0</v>
      </c>
      <c r="AG20" s="5">
        <f t="shared" si="12"/>
        <v>0</v>
      </c>
      <c r="AH20" s="5">
        <f t="shared" si="13"/>
        <v>0</v>
      </c>
      <c r="AI20" s="5">
        <f t="shared" si="14"/>
        <v>0</v>
      </c>
      <c r="AJ20" s="5">
        <f t="shared" si="15"/>
        <v>0</v>
      </c>
      <c r="AK20" s="5">
        <f t="shared" si="16"/>
        <v>0</v>
      </c>
      <c r="AL20" s="5">
        <f t="shared" si="3"/>
        <v>0</v>
      </c>
      <c r="AN20" s="5">
        <f t="shared" si="4"/>
        <v>0</v>
      </c>
    </row>
    <row r="21" spans="3:40" s="5" customFormat="1" x14ac:dyDescent="0.55000000000000004">
      <c r="H21" s="47" t="s">
        <v>4</v>
      </c>
      <c r="M21" s="48"/>
      <c r="Z21" s="5">
        <f t="shared" si="5"/>
        <v>0</v>
      </c>
      <c r="AA21" s="5">
        <f t="shared" si="6"/>
        <v>0</v>
      </c>
      <c r="AB21" s="5">
        <f t="shared" si="7"/>
        <v>0</v>
      </c>
      <c r="AC21" s="5">
        <f t="shared" si="8"/>
        <v>0</v>
      </c>
      <c r="AD21" s="5">
        <f t="shared" si="9"/>
        <v>0</v>
      </c>
      <c r="AE21" s="5">
        <f t="shared" si="10"/>
        <v>0</v>
      </c>
      <c r="AF21" s="5">
        <f t="shared" si="11"/>
        <v>0</v>
      </c>
      <c r="AG21" s="5">
        <f t="shared" si="12"/>
        <v>0</v>
      </c>
      <c r="AH21" s="5">
        <f t="shared" si="13"/>
        <v>0</v>
      </c>
      <c r="AI21" s="5">
        <f t="shared" si="14"/>
        <v>0</v>
      </c>
      <c r="AJ21" s="5">
        <f t="shared" si="15"/>
        <v>0</v>
      </c>
      <c r="AK21" s="5">
        <f t="shared" si="16"/>
        <v>0</v>
      </c>
      <c r="AL21" s="5">
        <f t="shared" si="3"/>
        <v>0</v>
      </c>
      <c r="AN21" s="5">
        <f t="shared" si="4"/>
        <v>0</v>
      </c>
    </row>
    <row r="22" spans="3:40" s="5" customFormat="1" x14ac:dyDescent="0.55000000000000004">
      <c r="C22" s="5">
        <v>1</v>
      </c>
      <c r="G22" s="5">
        <v>1</v>
      </c>
      <c r="H22" s="51" t="s">
        <v>4</v>
      </c>
      <c r="J22" s="5">
        <v>100000</v>
      </c>
      <c r="L22" s="15">
        <v>9</v>
      </c>
      <c r="M22" s="48" t="s">
        <v>8</v>
      </c>
      <c r="Z22" s="5">
        <f t="shared" si="5"/>
        <v>1</v>
      </c>
      <c r="AA22" s="5">
        <f t="shared" si="6"/>
        <v>0</v>
      </c>
      <c r="AB22" s="5">
        <f t="shared" si="7"/>
        <v>0</v>
      </c>
      <c r="AC22" s="5">
        <f t="shared" si="8"/>
        <v>0</v>
      </c>
      <c r="AD22" s="5">
        <f t="shared" si="9"/>
        <v>0</v>
      </c>
      <c r="AE22" s="5">
        <f t="shared" si="10"/>
        <v>100000</v>
      </c>
      <c r="AF22" s="5">
        <f t="shared" si="11"/>
        <v>0</v>
      </c>
      <c r="AG22" s="5">
        <f t="shared" si="12"/>
        <v>0</v>
      </c>
      <c r="AH22" s="5">
        <f t="shared" si="13"/>
        <v>0</v>
      </c>
      <c r="AI22" s="5">
        <f t="shared" si="14"/>
        <v>0</v>
      </c>
      <c r="AJ22" s="5">
        <f t="shared" si="15"/>
        <v>0</v>
      </c>
      <c r="AK22" s="5">
        <f t="shared" si="16"/>
        <v>0</v>
      </c>
      <c r="AL22" s="5">
        <f t="shared" si="3"/>
        <v>0</v>
      </c>
      <c r="AN22" s="5">
        <f t="shared" si="4"/>
        <v>9</v>
      </c>
    </row>
    <row r="23" spans="3:40" s="5" customFormat="1" x14ac:dyDescent="0.55000000000000004">
      <c r="H23" s="50" t="s">
        <v>9</v>
      </c>
      <c r="M23" s="48" t="s">
        <v>10</v>
      </c>
      <c r="Z23" s="5">
        <f t="shared" si="5"/>
        <v>0</v>
      </c>
      <c r="AA23" s="5">
        <f t="shared" si="6"/>
        <v>0</v>
      </c>
      <c r="AB23" s="5">
        <f t="shared" si="7"/>
        <v>0</v>
      </c>
      <c r="AC23" s="5">
        <f t="shared" si="8"/>
        <v>0</v>
      </c>
      <c r="AD23" s="5">
        <f t="shared" si="9"/>
        <v>0</v>
      </c>
      <c r="AE23" s="5">
        <f t="shared" si="10"/>
        <v>0</v>
      </c>
      <c r="AF23" s="5">
        <f t="shared" si="11"/>
        <v>0</v>
      </c>
      <c r="AG23" s="5">
        <f t="shared" si="12"/>
        <v>0</v>
      </c>
      <c r="AH23" s="5">
        <f t="shared" si="13"/>
        <v>0</v>
      </c>
      <c r="AI23" s="5">
        <f t="shared" si="14"/>
        <v>0</v>
      </c>
      <c r="AJ23" s="5">
        <f t="shared" si="15"/>
        <v>0</v>
      </c>
      <c r="AK23" s="5">
        <f t="shared" si="16"/>
        <v>0</v>
      </c>
      <c r="AL23" s="5">
        <f t="shared" si="3"/>
        <v>0</v>
      </c>
      <c r="AN23" s="5">
        <f t="shared" si="4"/>
        <v>0</v>
      </c>
    </row>
    <row r="24" spans="3:40" s="5" customFormat="1" x14ac:dyDescent="0.55000000000000004">
      <c r="C24" s="5">
        <v>1</v>
      </c>
      <c r="G24" s="5">
        <v>1</v>
      </c>
      <c r="H24" s="49" t="s">
        <v>13</v>
      </c>
      <c r="I24" s="5" t="s">
        <v>5</v>
      </c>
      <c r="J24" s="5">
        <f>30000</f>
        <v>30000</v>
      </c>
      <c r="L24" s="5">
        <v>2</v>
      </c>
      <c r="M24" s="48" t="s">
        <v>179</v>
      </c>
      <c r="Z24" s="5">
        <f t="shared" si="5"/>
        <v>1</v>
      </c>
      <c r="AA24" s="5">
        <f t="shared" si="6"/>
        <v>0</v>
      </c>
      <c r="AB24" s="5">
        <f t="shared" si="7"/>
        <v>0</v>
      </c>
      <c r="AC24" s="5">
        <f t="shared" si="8"/>
        <v>0</v>
      </c>
      <c r="AD24" s="5">
        <f t="shared" si="9"/>
        <v>0</v>
      </c>
      <c r="AE24" s="5">
        <f t="shared" si="10"/>
        <v>30000</v>
      </c>
      <c r="AF24" s="5">
        <f t="shared" si="11"/>
        <v>0</v>
      </c>
      <c r="AG24" s="5">
        <f t="shared" si="12"/>
        <v>0</v>
      </c>
      <c r="AH24" s="5">
        <f t="shared" si="13"/>
        <v>0</v>
      </c>
      <c r="AI24" s="5">
        <f t="shared" si="14"/>
        <v>0</v>
      </c>
      <c r="AJ24" s="5">
        <f t="shared" si="15"/>
        <v>0</v>
      </c>
      <c r="AK24" s="5">
        <f t="shared" si="16"/>
        <v>0</v>
      </c>
      <c r="AL24" s="5">
        <f t="shared" si="3"/>
        <v>0</v>
      </c>
      <c r="AN24" s="5">
        <f t="shared" si="4"/>
        <v>2</v>
      </c>
    </row>
    <row r="25" spans="3:40" s="5" customFormat="1" x14ac:dyDescent="0.55000000000000004">
      <c r="C25" s="5">
        <v>1</v>
      </c>
      <c r="G25" s="5">
        <v>2</v>
      </c>
      <c r="H25" s="49" t="s">
        <v>13</v>
      </c>
      <c r="I25" s="5" t="s">
        <v>6</v>
      </c>
      <c r="J25" s="5">
        <v>10000</v>
      </c>
      <c r="L25" s="5">
        <v>2</v>
      </c>
      <c r="M25" s="48" t="s">
        <v>7</v>
      </c>
      <c r="Z25" s="5">
        <f t="shared" si="5"/>
        <v>2</v>
      </c>
      <c r="AA25" s="5">
        <f t="shared" si="6"/>
        <v>0</v>
      </c>
      <c r="AB25" s="5">
        <f t="shared" si="7"/>
        <v>0</v>
      </c>
      <c r="AC25" s="5">
        <f t="shared" si="8"/>
        <v>0</v>
      </c>
      <c r="AD25" s="5">
        <f t="shared" si="9"/>
        <v>0</v>
      </c>
      <c r="AE25" s="5">
        <f t="shared" si="10"/>
        <v>10000</v>
      </c>
      <c r="AF25" s="5">
        <f t="shared" si="11"/>
        <v>0</v>
      </c>
      <c r="AG25" s="5">
        <f t="shared" si="12"/>
        <v>0</v>
      </c>
      <c r="AH25" s="5">
        <f t="shared" si="13"/>
        <v>0</v>
      </c>
      <c r="AI25" s="5">
        <f t="shared" si="14"/>
        <v>0</v>
      </c>
      <c r="AJ25" s="5">
        <f t="shared" si="15"/>
        <v>0</v>
      </c>
      <c r="AK25" s="5">
        <f t="shared" si="16"/>
        <v>0</v>
      </c>
      <c r="AL25" s="5">
        <f t="shared" si="3"/>
        <v>0</v>
      </c>
      <c r="AN25" s="5">
        <f t="shared" si="4"/>
        <v>2</v>
      </c>
    </row>
    <row r="26" spans="3:40" s="5" customFormat="1" ht="14.7" thickBot="1" x14ac:dyDescent="0.6">
      <c r="C26" s="5">
        <v>1</v>
      </c>
      <c r="G26" s="5">
        <v>1</v>
      </c>
      <c r="H26" s="52">
        <v>12</v>
      </c>
      <c r="I26" s="53" t="s">
        <v>17</v>
      </c>
      <c r="J26" s="53"/>
      <c r="K26" s="53">
        <f>$K$6*$I$4*H26</f>
        <v>23040</v>
      </c>
      <c r="L26" s="53">
        <v>2</v>
      </c>
      <c r="M26" s="54"/>
      <c r="Z26" s="5">
        <f t="shared" si="5"/>
        <v>1</v>
      </c>
      <c r="AA26" s="5">
        <f t="shared" si="6"/>
        <v>0</v>
      </c>
      <c r="AB26" s="5">
        <f t="shared" si="7"/>
        <v>0</v>
      </c>
      <c r="AC26" s="5">
        <f t="shared" si="8"/>
        <v>0</v>
      </c>
      <c r="AD26" s="5">
        <f t="shared" si="9"/>
        <v>0</v>
      </c>
      <c r="AE26" s="5">
        <f t="shared" si="10"/>
        <v>0</v>
      </c>
      <c r="AF26" s="5">
        <f t="shared" si="11"/>
        <v>23040</v>
      </c>
      <c r="AG26" s="5">
        <f t="shared" si="12"/>
        <v>0</v>
      </c>
      <c r="AH26" s="5">
        <f t="shared" si="13"/>
        <v>0</v>
      </c>
      <c r="AI26" s="5">
        <f t="shared" si="14"/>
        <v>0</v>
      </c>
      <c r="AJ26" s="5">
        <f t="shared" si="15"/>
        <v>0</v>
      </c>
      <c r="AK26" s="5">
        <f t="shared" si="16"/>
        <v>0</v>
      </c>
      <c r="AL26" s="5">
        <f t="shared" si="3"/>
        <v>0</v>
      </c>
      <c r="AN26" s="5">
        <f t="shared" si="4"/>
        <v>2</v>
      </c>
    </row>
    <row r="27" spans="3:40" s="5" customFormat="1" ht="14.7" thickBot="1" x14ac:dyDescent="0.6">
      <c r="Z27" s="5">
        <f t="shared" si="5"/>
        <v>0</v>
      </c>
      <c r="AA27" s="5">
        <f t="shared" si="6"/>
        <v>0</v>
      </c>
      <c r="AB27" s="5">
        <f t="shared" si="7"/>
        <v>0</v>
      </c>
      <c r="AC27" s="5">
        <f t="shared" si="8"/>
        <v>0</v>
      </c>
      <c r="AD27" s="5">
        <f t="shared" si="9"/>
        <v>0</v>
      </c>
      <c r="AE27" s="5">
        <f t="shared" si="10"/>
        <v>0</v>
      </c>
      <c r="AF27" s="5">
        <f t="shared" si="11"/>
        <v>0</v>
      </c>
      <c r="AG27" s="5">
        <f t="shared" si="12"/>
        <v>0</v>
      </c>
      <c r="AH27" s="5">
        <f t="shared" si="13"/>
        <v>0</v>
      </c>
      <c r="AI27" s="5">
        <f t="shared" si="14"/>
        <v>0</v>
      </c>
      <c r="AJ27" s="5">
        <f t="shared" si="15"/>
        <v>0</v>
      </c>
      <c r="AK27" s="5">
        <f t="shared" si="16"/>
        <v>0</v>
      </c>
      <c r="AL27" s="5">
        <f t="shared" si="3"/>
        <v>0</v>
      </c>
      <c r="AN27" s="5">
        <f t="shared" si="4"/>
        <v>0</v>
      </c>
    </row>
    <row r="28" spans="3:40" s="5" customFormat="1" x14ac:dyDescent="0.55000000000000004">
      <c r="H28" s="44" t="s">
        <v>285</v>
      </c>
      <c r="I28" s="45"/>
      <c r="J28" s="45"/>
      <c r="K28" s="45"/>
      <c r="L28" s="45"/>
      <c r="M28" s="55"/>
      <c r="Z28" s="5">
        <f t="shared" si="5"/>
        <v>0</v>
      </c>
      <c r="AA28" s="5">
        <f t="shared" si="6"/>
        <v>0</v>
      </c>
      <c r="AB28" s="5">
        <f t="shared" si="7"/>
        <v>0</v>
      </c>
      <c r="AC28" s="5">
        <f t="shared" si="8"/>
        <v>0</v>
      </c>
      <c r="AD28" s="5">
        <f t="shared" si="9"/>
        <v>0</v>
      </c>
      <c r="AE28" s="5">
        <f t="shared" si="10"/>
        <v>0</v>
      </c>
      <c r="AF28" s="5">
        <f t="shared" si="11"/>
        <v>0</v>
      </c>
      <c r="AG28" s="5">
        <f t="shared" si="12"/>
        <v>0</v>
      </c>
      <c r="AH28" s="5">
        <f t="shared" si="13"/>
        <v>0</v>
      </c>
      <c r="AI28" s="5">
        <f t="shared" si="14"/>
        <v>0</v>
      </c>
      <c r="AJ28" s="5">
        <f t="shared" si="15"/>
        <v>0</v>
      </c>
      <c r="AK28" s="5">
        <f t="shared" si="16"/>
        <v>0</v>
      </c>
      <c r="AL28" s="5">
        <f t="shared" si="3"/>
        <v>0</v>
      </c>
      <c r="AN28" s="5">
        <f t="shared" si="4"/>
        <v>0</v>
      </c>
    </row>
    <row r="29" spans="3:40" s="5" customFormat="1" x14ac:dyDescent="0.55000000000000004">
      <c r="H29" s="47" t="s">
        <v>9</v>
      </c>
      <c r="M29" s="48"/>
      <c r="Z29" s="5">
        <f t="shared" si="5"/>
        <v>0</v>
      </c>
      <c r="AA29" s="5">
        <f t="shared" si="6"/>
        <v>0</v>
      </c>
      <c r="AB29" s="5">
        <f t="shared" si="7"/>
        <v>0</v>
      </c>
      <c r="AC29" s="5">
        <f t="shared" si="8"/>
        <v>0</v>
      </c>
      <c r="AD29" s="5">
        <f t="shared" si="9"/>
        <v>0</v>
      </c>
      <c r="AE29" s="5">
        <f t="shared" si="10"/>
        <v>0</v>
      </c>
      <c r="AF29" s="5">
        <f t="shared" si="11"/>
        <v>0</v>
      </c>
      <c r="AG29" s="5">
        <f t="shared" si="12"/>
        <v>0</v>
      </c>
      <c r="AH29" s="5">
        <f t="shared" si="13"/>
        <v>0</v>
      </c>
      <c r="AI29" s="5">
        <f t="shared" si="14"/>
        <v>0</v>
      </c>
      <c r="AJ29" s="5">
        <f t="shared" si="15"/>
        <v>0</v>
      </c>
      <c r="AK29" s="5">
        <f t="shared" si="16"/>
        <v>0</v>
      </c>
      <c r="AL29" s="5">
        <f t="shared" si="3"/>
        <v>0</v>
      </c>
      <c r="AN29" s="5">
        <f t="shared" si="4"/>
        <v>0</v>
      </c>
    </row>
    <row r="30" spans="3:40" s="5" customFormat="1" x14ac:dyDescent="0.55000000000000004">
      <c r="H30" s="51"/>
      <c r="I30" s="12" t="s">
        <v>5</v>
      </c>
      <c r="M30" s="48"/>
      <c r="Z30" s="5">
        <f t="shared" si="5"/>
        <v>0</v>
      </c>
      <c r="AA30" s="5">
        <f t="shared" si="6"/>
        <v>0</v>
      </c>
      <c r="AB30" s="5">
        <f t="shared" si="7"/>
        <v>0</v>
      </c>
      <c r="AC30" s="5">
        <f t="shared" si="8"/>
        <v>0</v>
      </c>
      <c r="AD30" s="5">
        <f t="shared" si="9"/>
        <v>0</v>
      </c>
      <c r="AE30" s="5">
        <f t="shared" si="10"/>
        <v>0</v>
      </c>
      <c r="AF30" s="5">
        <f t="shared" si="11"/>
        <v>0</v>
      </c>
      <c r="AG30" s="5">
        <f t="shared" si="12"/>
        <v>0</v>
      </c>
      <c r="AH30" s="5">
        <f t="shared" si="13"/>
        <v>0</v>
      </c>
      <c r="AI30" s="5">
        <f t="shared" si="14"/>
        <v>0</v>
      </c>
      <c r="AJ30" s="5">
        <f t="shared" si="15"/>
        <v>0</v>
      </c>
      <c r="AK30" s="5">
        <f t="shared" si="16"/>
        <v>0</v>
      </c>
      <c r="AL30" s="5">
        <f t="shared" si="3"/>
        <v>0</v>
      </c>
      <c r="AN30" s="5">
        <f t="shared" si="4"/>
        <v>0</v>
      </c>
    </row>
    <row r="31" spans="3:40" s="5" customFormat="1" x14ac:dyDescent="0.55000000000000004">
      <c r="C31" s="5">
        <v>1</v>
      </c>
      <c r="G31" s="5">
        <v>1</v>
      </c>
      <c r="H31" s="49" t="s">
        <v>28</v>
      </c>
      <c r="I31" s="5" t="s">
        <v>5</v>
      </c>
      <c r="J31" s="5">
        <v>15000</v>
      </c>
      <c r="L31" s="5">
        <v>2</v>
      </c>
      <c r="M31" s="48" t="s">
        <v>177</v>
      </c>
      <c r="Z31" s="5">
        <f t="shared" si="5"/>
        <v>1</v>
      </c>
      <c r="AA31" s="5">
        <f t="shared" si="6"/>
        <v>0</v>
      </c>
      <c r="AB31" s="5">
        <f t="shared" si="7"/>
        <v>0</v>
      </c>
      <c r="AC31" s="5">
        <f t="shared" si="8"/>
        <v>0</v>
      </c>
      <c r="AD31" s="5">
        <f t="shared" si="9"/>
        <v>0</v>
      </c>
      <c r="AE31" s="5">
        <f t="shared" si="10"/>
        <v>15000</v>
      </c>
      <c r="AF31" s="5">
        <f t="shared" si="11"/>
        <v>0</v>
      </c>
      <c r="AG31" s="5">
        <f t="shared" si="12"/>
        <v>0</v>
      </c>
      <c r="AH31" s="5">
        <f t="shared" si="13"/>
        <v>0</v>
      </c>
      <c r="AI31" s="5">
        <f t="shared" si="14"/>
        <v>0</v>
      </c>
      <c r="AJ31" s="5">
        <f t="shared" si="15"/>
        <v>0</v>
      </c>
      <c r="AK31" s="5">
        <f t="shared" si="16"/>
        <v>0</v>
      </c>
      <c r="AL31" s="5">
        <f t="shared" si="3"/>
        <v>0</v>
      </c>
      <c r="AN31" s="5">
        <f t="shared" si="4"/>
        <v>2</v>
      </c>
    </row>
    <row r="32" spans="3:40" s="5" customFormat="1" x14ac:dyDescent="0.55000000000000004">
      <c r="C32" s="5">
        <v>1</v>
      </c>
      <c r="G32" s="5">
        <v>1</v>
      </c>
      <c r="H32" s="56" t="s">
        <v>27</v>
      </c>
      <c r="I32" s="5" t="s">
        <v>5</v>
      </c>
      <c r="J32" s="5">
        <v>15000</v>
      </c>
      <c r="L32" s="5">
        <v>2</v>
      </c>
      <c r="M32" s="48" t="s">
        <v>178</v>
      </c>
      <c r="Z32" s="5">
        <f t="shared" si="5"/>
        <v>1</v>
      </c>
      <c r="AA32" s="5">
        <f t="shared" si="6"/>
        <v>0</v>
      </c>
      <c r="AB32" s="5">
        <f t="shared" si="7"/>
        <v>0</v>
      </c>
      <c r="AC32" s="5">
        <f t="shared" si="8"/>
        <v>0</v>
      </c>
      <c r="AD32" s="5">
        <f t="shared" si="9"/>
        <v>0</v>
      </c>
      <c r="AE32" s="5">
        <f t="shared" si="10"/>
        <v>15000</v>
      </c>
      <c r="AF32" s="5">
        <f t="shared" si="11"/>
        <v>0</v>
      </c>
      <c r="AG32" s="5">
        <f t="shared" si="12"/>
        <v>0</v>
      </c>
      <c r="AH32" s="5">
        <f t="shared" si="13"/>
        <v>0</v>
      </c>
      <c r="AI32" s="5">
        <f t="shared" si="14"/>
        <v>0</v>
      </c>
      <c r="AJ32" s="5">
        <f t="shared" si="15"/>
        <v>0</v>
      </c>
      <c r="AK32" s="5">
        <f t="shared" si="16"/>
        <v>0</v>
      </c>
      <c r="AL32" s="5">
        <f t="shared" si="3"/>
        <v>0</v>
      </c>
      <c r="AN32" s="5">
        <f t="shared" si="4"/>
        <v>2</v>
      </c>
    </row>
    <row r="33" spans="3:40" s="5" customFormat="1" x14ac:dyDescent="0.55000000000000004">
      <c r="C33" s="5">
        <v>1</v>
      </c>
      <c r="G33" s="5">
        <v>1</v>
      </c>
      <c r="H33" s="56" t="s">
        <v>32</v>
      </c>
      <c r="I33" s="5" t="s">
        <v>5</v>
      </c>
      <c r="J33" s="5">
        <f>20*20000</f>
        <v>400000</v>
      </c>
      <c r="L33" s="5">
        <v>2</v>
      </c>
      <c r="M33" s="48" t="s">
        <v>180</v>
      </c>
      <c r="Z33" s="5">
        <f t="shared" si="5"/>
        <v>1</v>
      </c>
      <c r="AA33" s="5">
        <f t="shared" si="6"/>
        <v>0</v>
      </c>
      <c r="AB33" s="5">
        <f t="shared" si="7"/>
        <v>0</v>
      </c>
      <c r="AC33" s="5">
        <f t="shared" si="8"/>
        <v>0</v>
      </c>
      <c r="AD33" s="5">
        <f t="shared" si="9"/>
        <v>0</v>
      </c>
      <c r="AE33" s="5">
        <f t="shared" si="10"/>
        <v>400000</v>
      </c>
      <c r="AF33" s="5">
        <f t="shared" si="11"/>
        <v>0</v>
      </c>
      <c r="AG33" s="5">
        <f t="shared" si="12"/>
        <v>0</v>
      </c>
      <c r="AH33" s="5">
        <f t="shared" si="13"/>
        <v>0</v>
      </c>
      <c r="AI33" s="5">
        <f t="shared" si="14"/>
        <v>0</v>
      </c>
      <c r="AJ33" s="5">
        <f t="shared" si="15"/>
        <v>0</v>
      </c>
      <c r="AK33" s="5">
        <f t="shared" si="16"/>
        <v>0</v>
      </c>
      <c r="AL33" s="5">
        <f t="shared" si="3"/>
        <v>0</v>
      </c>
      <c r="AN33" s="5">
        <f t="shared" si="4"/>
        <v>2</v>
      </c>
    </row>
    <row r="34" spans="3:40" s="5" customFormat="1" x14ac:dyDescent="0.55000000000000004">
      <c r="G34" s="5">
        <v>1</v>
      </c>
      <c r="H34" s="56"/>
      <c r="I34" s="5" t="s">
        <v>17</v>
      </c>
      <c r="L34" s="5">
        <v>2</v>
      </c>
      <c r="M34" s="48" t="s">
        <v>40</v>
      </c>
      <c r="Z34" s="5">
        <f t="shared" si="5"/>
        <v>1</v>
      </c>
      <c r="AA34" s="5">
        <f t="shared" si="6"/>
        <v>0</v>
      </c>
      <c r="AB34" s="5">
        <f t="shared" si="7"/>
        <v>0</v>
      </c>
      <c r="AC34" s="5">
        <f t="shared" si="8"/>
        <v>0</v>
      </c>
      <c r="AD34" s="5">
        <f t="shared" si="9"/>
        <v>0</v>
      </c>
      <c r="AE34" s="5">
        <f t="shared" si="10"/>
        <v>0</v>
      </c>
      <c r="AF34" s="5">
        <f t="shared" si="11"/>
        <v>0</v>
      </c>
      <c r="AG34" s="5">
        <f t="shared" si="12"/>
        <v>0</v>
      </c>
      <c r="AH34" s="5">
        <f t="shared" si="13"/>
        <v>0</v>
      </c>
      <c r="AI34" s="5">
        <f t="shared" si="14"/>
        <v>0</v>
      </c>
      <c r="AJ34" s="5">
        <f t="shared" si="15"/>
        <v>0</v>
      </c>
      <c r="AK34" s="5">
        <f t="shared" si="16"/>
        <v>0</v>
      </c>
      <c r="AL34" s="5">
        <f t="shared" si="3"/>
        <v>0</v>
      </c>
      <c r="AN34" s="5">
        <f t="shared" si="4"/>
        <v>2</v>
      </c>
    </row>
    <row r="35" spans="3:40" s="5" customFormat="1" x14ac:dyDescent="0.55000000000000004">
      <c r="H35" s="56"/>
      <c r="M35" s="48"/>
      <c r="Z35" s="5">
        <f t="shared" si="5"/>
        <v>0</v>
      </c>
      <c r="AA35" s="5">
        <f t="shared" si="6"/>
        <v>0</v>
      </c>
      <c r="AB35" s="5">
        <f t="shared" si="7"/>
        <v>0</v>
      </c>
      <c r="AC35" s="5">
        <f t="shared" si="8"/>
        <v>0</v>
      </c>
      <c r="AD35" s="5">
        <f t="shared" si="9"/>
        <v>0</v>
      </c>
      <c r="AE35" s="5">
        <f t="shared" si="10"/>
        <v>0</v>
      </c>
      <c r="AF35" s="5">
        <f t="shared" si="11"/>
        <v>0</v>
      </c>
      <c r="AG35" s="5">
        <f t="shared" si="12"/>
        <v>0</v>
      </c>
      <c r="AH35" s="5">
        <f t="shared" si="13"/>
        <v>0</v>
      </c>
      <c r="AI35" s="5">
        <f t="shared" si="14"/>
        <v>0</v>
      </c>
      <c r="AJ35" s="5">
        <f t="shared" si="15"/>
        <v>0</v>
      </c>
      <c r="AK35" s="5">
        <f t="shared" si="16"/>
        <v>0</v>
      </c>
      <c r="AL35" s="5">
        <f t="shared" si="3"/>
        <v>0</v>
      </c>
      <c r="AN35" s="5">
        <f t="shared" si="4"/>
        <v>0</v>
      </c>
    </row>
    <row r="36" spans="3:40" s="5" customFormat="1" x14ac:dyDescent="0.55000000000000004">
      <c r="H36" s="50"/>
      <c r="I36" s="12" t="s">
        <v>6</v>
      </c>
      <c r="M36" s="48"/>
      <c r="Z36" s="5">
        <f t="shared" si="5"/>
        <v>0</v>
      </c>
      <c r="AA36" s="5">
        <f t="shared" si="6"/>
        <v>0</v>
      </c>
      <c r="AB36" s="5">
        <f t="shared" si="7"/>
        <v>0</v>
      </c>
      <c r="AC36" s="5">
        <f t="shared" si="8"/>
        <v>0</v>
      </c>
      <c r="AD36" s="5">
        <f t="shared" si="9"/>
        <v>0</v>
      </c>
      <c r="AE36" s="5">
        <f t="shared" si="10"/>
        <v>0</v>
      </c>
      <c r="AF36" s="5">
        <f t="shared" si="11"/>
        <v>0</v>
      </c>
      <c r="AG36" s="5">
        <f t="shared" si="12"/>
        <v>0</v>
      </c>
      <c r="AH36" s="5">
        <f t="shared" si="13"/>
        <v>0</v>
      </c>
      <c r="AI36" s="5">
        <f t="shared" si="14"/>
        <v>0</v>
      </c>
      <c r="AJ36" s="5">
        <f t="shared" si="15"/>
        <v>0</v>
      </c>
      <c r="AK36" s="5">
        <f t="shared" si="16"/>
        <v>0</v>
      </c>
      <c r="AL36" s="5">
        <f t="shared" si="3"/>
        <v>0</v>
      </c>
      <c r="AN36" s="5">
        <f t="shared" si="4"/>
        <v>0</v>
      </c>
    </row>
    <row r="37" spans="3:40" s="5" customFormat="1" x14ac:dyDescent="0.55000000000000004">
      <c r="C37" s="5">
        <v>1</v>
      </c>
      <c r="G37" s="5">
        <v>2</v>
      </c>
      <c r="H37" s="49" t="s">
        <v>31</v>
      </c>
      <c r="I37" s="5" t="s">
        <v>6</v>
      </c>
      <c r="J37" s="5">
        <f>8*10000</f>
        <v>80000</v>
      </c>
      <c r="L37" s="5">
        <v>2</v>
      </c>
      <c r="M37" s="48" t="s">
        <v>14</v>
      </c>
      <c r="Z37" s="5">
        <f t="shared" si="5"/>
        <v>2</v>
      </c>
      <c r="AA37" s="5">
        <f t="shared" si="6"/>
        <v>0</v>
      </c>
      <c r="AB37" s="5">
        <f t="shared" si="7"/>
        <v>0</v>
      </c>
      <c r="AC37" s="5">
        <f t="shared" si="8"/>
        <v>0</v>
      </c>
      <c r="AD37" s="5">
        <f t="shared" si="9"/>
        <v>0</v>
      </c>
      <c r="AE37" s="5">
        <f t="shared" si="10"/>
        <v>80000</v>
      </c>
      <c r="AF37" s="5">
        <f t="shared" si="11"/>
        <v>0</v>
      </c>
      <c r="AG37" s="5">
        <f t="shared" si="12"/>
        <v>0</v>
      </c>
      <c r="AH37" s="5">
        <f t="shared" si="13"/>
        <v>0</v>
      </c>
      <c r="AI37" s="5">
        <f t="shared" si="14"/>
        <v>0</v>
      </c>
      <c r="AJ37" s="5">
        <f t="shared" si="15"/>
        <v>0</v>
      </c>
      <c r="AK37" s="5">
        <f t="shared" si="16"/>
        <v>0</v>
      </c>
      <c r="AL37" s="5">
        <f t="shared" si="3"/>
        <v>0</v>
      </c>
      <c r="AN37" s="5">
        <f t="shared" si="4"/>
        <v>2</v>
      </c>
    </row>
    <row r="38" spans="3:40" s="5" customFormat="1" x14ac:dyDescent="0.55000000000000004">
      <c r="C38" s="5">
        <v>1</v>
      </c>
      <c r="G38" s="5">
        <v>2</v>
      </c>
      <c r="H38" s="49" t="s">
        <v>30</v>
      </c>
      <c r="I38" s="5" t="s">
        <v>6</v>
      </c>
      <c r="J38" s="5">
        <f>4*10000</f>
        <v>40000</v>
      </c>
      <c r="L38" s="5">
        <v>2</v>
      </c>
      <c r="M38" s="48" t="s">
        <v>14</v>
      </c>
      <c r="Z38" s="5">
        <f t="shared" si="5"/>
        <v>2</v>
      </c>
      <c r="AA38" s="5">
        <f t="shared" si="6"/>
        <v>0</v>
      </c>
      <c r="AB38" s="5">
        <f t="shared" si="7"/>
        <v>0</v>
      </c>
      <c r="AC38" s="5">
        <f t="shared" si="8"/>
        <v>0</v>
      </c>
      <c r="AD38" s="5">
        <f t="shared" si="9"/>
        <v>0</v>
      </c>
      <c r="AE38" s="5">
        <f t="shared" si="10"/>
        <v>40000</v>
      </c>
      <c r="AF38" s="5">
        <f t="shared" si="11"/>
        <v>0</v>
      </c>
      <c r="AG38" s="5">
        <f t="shared" si="12"/>
        <v>0</v>
      </c>
      <c r="AH38" s="5">
        <f t="shared" si="13"/>
        <v>0</v>
      </c>
      <c r="AI38" s="5">
        <f t="shared" si="14"/>
        <v>0</v>
      </c>
      <c r="AJ38" s="5">
        <f t="shared" si="15"/>
        <v>0</v>
      </c>
      <c r="AK38" s="5">
        <f t="shared" si="16"/>
        <v>0</v>
      </c>
      <c r="AL38" s="5">
        <f t="shared" si="3"/>
        <v>0</v>
      </c>
      <c r="AN38" s="5">
        <f t="shared" si="4"/>
        <v>2</v>
      </c>
    </row>
    <row r="39" spans="3:40" s="5" customFormat="1" x14ac:dyDescent="0.55000000000000004">
      <c r="C39" s="5">
        <v>1</v>
      </c>
      <c r="G39" s="5">
        <v>2</v>
      </c>
      <c r="H39" s="49" t="s">
        <v>35</v>
      </c>
      <c r="I39" s="5" t="s">
        <v>6</v>
      </c>
      <c r="J39" s="5">
        <f>2*10000</f>
        <v>20000</v>
      </c>
      <c r="L39" s="5">
        <v>2</v>
      </c>
      <c r="M39" s="48" t="s">
        <v>14</v>
      </c>
      <c r="Z39" s="5">
        <f t="shared" si="5"/>
        <v>2</v>
      </c>
      <c r="AA39" s="5">
        <f t="shared" si="6"/>
        <v>0</v>
      </c>
      <c r="AB39" s="5">
        <f t="shared" si="7"/>
        <v>0</v>
      </c>
      <c r="AC39" s="5">
        <f t="shared" si="8"/>
        <v>0</v>
      </c>
      <c r="AD39" s="5">
        <f t="shared" si="9"/>
        <v>0</v>
      </c>
      <c r="AE39" s="5">
        <f t="shared" si="10"/>
        <v>20000</v>
      </c>
      <c r="AF39" s="5">
        <f t="shared" si="11"/>
        <v>0</v>
      </c>
      <c r="AG39" s="5">
        <f t="shared" si="12"/>
        <v>0</v>
      </c>
      <c r="AH39" s="5">
        <f t="shared" si="13"/>
        <v>0</v>
      </c>
      <c r="AI39" s="5">
        <f t="shared" si="14"/>
        <v>0</v>
      </c>
      <c r="AJ39" s="5">
        <f t="shared" si="15"/>
        <v>0</v>
      </c>
      <c r="AK39" s="5">
        <f t="shared" si="16"/>
        <v>0</v>
      </c>
      <c r="AL39" s="5">
        <f t="shared" si="3"/>
        <v>0</v>
      </c>
      <c r="AN39" s="5">
        <f t="shared" si="4"/>
        <v>2</v>
      </c>
    </row>
    <row r="40" spans="3:40" s="5" customFormat="1" x14ac:dyDescent="0.55000000000000004">
      <c r="C40" s="5">
        <v>1</v>
      </c>
      <c r="G40" s="5">
        <v>2</v>
      </c>
      <c r="H40" s="49" t="s">
        <v>42</v>
      </c>
      <c r="I40" s="5" t="s">
        <v>6</v>
      </c>
      <c r="J40" s="5">
        <v>70000</v>
      </c>
      <c r="L40" s="5">
        <v>2</v>
      </c>
      <c r="M40" s="48" t="s">
        <v>41</v>
      </c>
      <c r="Z40" s="5">
        <f t="shared" si="5"/>
        <v>2</v>
      </c>
      <c r="AA40" s="5">
        <f t="shared" si="6"/>
        <v>0</v>
      </c>
      <c r="AB40" s="5">
        <f t="shared" si="7"/>
        <v>0</v>
      </c>
      <c r="AC40" s="5">
        <f t="shared" si="8"/>
        <v>0</v>
      </c>
      <c r="AD40" s="5">
        <f t="shared" si="9"/>
        <v>0</v>
      </c>
      <c r="AE40" s="5">
        <f t="shared" si="10"/>
        <v>70000</v>
      </c>
      <c r="AF40" s="5">
        <f t="shared" si="11"/>
        <v>0</v>
      </c>
      <c r="AG40" s="5">
        <f t="shared" si="12"/>
        <v>0</v>
      </c>
      <c r="AH40" s="5">
        <f t="shared" si="13"/>
        <v>0</v>
      </c>
      <c r="AI40" s="5">
        <f t="shared" si="14"/>
        <v>0</v>
      </c>
      <c r="AJ40" s="5">
        <f t="shared" si="15"/>
        <v>0</v>
      </c>
      <c r="AK40" s="5">
        <f t="shared" si="16"/>
        <v>0</v>
      </c>
      <c r="AL40" s="5">
        <f t="shared" si="3"/>
        <v>0</v>
      </c>
      <c r="AN40" s="5">
        <f t="shared" si="4"/>
        <v>2</v>
      </c>
    </row>
    <row r="41" spans="3:40" s="5" customFormat="1" x14ac:dyDescent="0.55000000000000004">
      <c r="C41" s="5">
        <v>1</v>
      </c>
      <c r="G41" s="5">
        <v>2</v>
      </c>
      <c r="H41" s="49"/>
      <c r="I41" s="5" t="s">
        <v>17</v>
      </c>
      <c r="L41" s="5">
        <v>2</v>
      </c>
      <c r="M41" s="48" t="s">
        <v>40</v>
      </c>
      <c r="Z41" s="5">
        <f t="shared" si="5"/>
        <v>2</v>
      </c>
      <c r="AA41" s="5">
        <f t="shared" si="6"/>
        <v>0</v>
      </c>
      <c r="AB41" s="5">
        <f t="shared" si="7"/>
        <v>0</v>
      </c>
      <c r="AC41" s="5">
        <f t="shared" si="8"/>
        <v>0</v>
      </c>
      <c r="AD41" s="5">
        <f t="shared" si="9"/>
        <v>0</v>
      </c>
      <c r="AE41" s="5">
        <f t="shared" si="10"/>
        <v>0</v>
      </c>
      <c r="AF41" s="5">
        <f t="shared" si="11"/>
        <v>0</v>
      </c>
      <c r="AG41" s="5">
        <f t="shared" si="12"/>
        <v>0</v>
      </c>
      <c r="AH41" s="5">
        <f t="shared" si="13"/>
        <v>0</v>
      </c>
      <c r="AI41" s="5">
        <f t="shared" si="14"/>
        <v>0</v>
      </c>
      <c r="AJ41" s="5">
        <f t="shared" si="15"/>
        <v>0</v>
      </c>
      <c r="AK41" s="5">
        <f t="shared" si="16"/>
        <v>0</v>
      </c>
      <c r="AL41" s="5">
        <f t="shared" si="3"/>
        <v>0</v>
      </c>
      <c r="AN41" s="5">
        <f t="shared" si="4"/>
        <v>2</v>
      </c>
    </row>
    <row r="42" spans="3:40" s="5" customFormat="1" x14ac:dyDescent="0.55000000000000004">
      <c r="H42" s="49"/>
      <c r="M42" s="48"/>
      <c r="Z42" s="5">
        <f t="shared" si="5"/>
        <v>0</v>
      </c>
      <c r="AA42" s="5">
        <f t="shared" si="6"/>
        <v>0</v>
      </c>
      <c r="AB42" s="5">
        <f t="shared" si="7"/>
        <v>0</v>
      </c>
      <c r="AC42" s="5">
        <f t="shared" si="8"/>
        <v>0</v>
      </c>
      <c r="AD42" s="5">
        <f t="shared" si="9"/>
        <v>0</v>
      </c>
      <c r="AE42" s="5">
        <f t="shared" si="10"/>
        <v>0</v>
      </c>
      <c r="AF42" s="5">
        <f t="shared" si="11"/>
        <v>0</v>
      </c>
      <c r="AG42" s="5">
        <f t="shared" si="12"/>
        <v>0</v>
      </c>
      <c r="AH42" s="5">
        <f t="shared" si="13"/>
        <v>0</v>
      </c>
      <c r="AI42" s="5">
        <f t="shared" si="14"/>
        <v>0</v>
      </c>
      <c r="AJ42" s="5">
        <f t="shared" si="15"/>
        <v>0</v>
      </c>
      <c r="AK42" s="5">
        <f t="shared" si="16"/>
        <v>0</v>
      </c>
      <c r="AL42" s="5">
        <f t="shared" si="3"/>
        <v>0</v>
      </c>
      <c r="AN42" s="5">
        <f t="shared" si="4"/>
        <v>0</v>
      </c>
    </row>
    <row r="43" spans="3:40" s="5" customFormat="1" x14ac:dyDescent="0.55000000000000004">
      <c r="H43" s="47" t="s">
        <v>33</v>
      </c>
      <c r="M43" s="48"/>
      <c r="Z43" s="5">
        <f t="shared" si="5"/>
        <v>0</v>
      </c>
      <c r="AA43" s="5">
        <f t="shared" si="6"/>
        <v>0</v>
      </c>
      <c r="AB43" s="5">
        <f t="shared" si="7"/>
        <v>0</v>
      </c>
      <c r="AC43" s="5">
        <f t="shared" si="8"/>
        <v>0</v>
      </c>
      <c r="AD43" s="5">
        <f t="shared" si="9"/>
        <v>0</v>
      </c>
      <c r="AE43" s="5">
        <f t="shared" si="10"/>
        <v>0</v>
      </c>
      <c r="AF43" s="5">
        <f t="shared" si="11"/>
        <v>0</v>
      </c>
      <c r="AG43" s="5">
        <f t="shared" si="12"/>
        <v>0</v>
      </c>
      <c r="AH43" s="5">
        <f t="shared" si="13"/>
        <v>0</v>
      </c>
      <c r="AI43" s="5">
        <f t="shared" si="14"/>
        <v>0</v>
      </c>
      <c r="AJ43" s="5">
        <f t="shared" si="15"/>
        <v>0</v>
      </c>
      <c r="AK43" s="5">
        <f t="shared" si="16"/>
        <v>0</v>
      </c>
      <c r="AL43" s="5">
        <f t="shared" si="3"/>
        <v>0</v>
      </c>
      <c r="AN43" s="5">
        <f t="shared" si="4"/>
        <v>0</v>
      </c>
    </row>
    <row r="44" spans="3:40" s="5" customFormat="1" x14ac:dyDescent="0.55000000000000004">
      <c r="H44" s="50"/>
      <c r="I44" s="12" t="s">
        <v>34</v>
      </c>
      <c r="M44" s="48" t="s">
        <v>45</v>
      </c>
      <c r="Z44" s="5">
        <f t="shared" si="5"/>
        <v>0</v>
      </c>
      <c r="AA44" s="5">
        <f t="shared" si="6"/>
        <v>0</v>
      </c>
      <c r="AB44" s="5">
        <f t="shared" si="7"/>
        <v>0</v>
      </c>
      <c r="AC44" s="5">
        <f t="shared" si="8"/>
        <v>0</v>
      </c>
      <c r="AD44" s="5">
        <f t="shared" si="9"/>
        <v>0</v>
      </c>
      <c r="AE44" s="5">
        <f t="shared" si="10"/>
        <v>0</v>
      </c>
      <c r="AF44" s="5">
        <f t="shared" si="11"/>
        <v>0</v>
      </c>
      <c r="AG44" s="5">
        <f t="shared" si="12"/>
        <v>0</v>
      </c>
      <c r="AH44" s="5">
        <f t="shared" si="13"/>
        <v>0</v>
      </c>
      <c r="AI44" s="5">
        <f t="shared" si="14"/>
        <v>0</v>
      </c>
      <c r="AJ44" s="5">
        <f t="shared" si="15"/>
        <v>0</v>
      </c>
      <c r="AK44" s="5">
        <f t="shared" si="16"/>
        <v>0</v>
      </c>
      <c r="AL44" s="5">
        <f t="shared" si="3"/>
        <v>0</v>
      </c>
      <c r="AN44" s="5">
        <f t="shared" si="4"/>
        <v>0</v>
      </c>
    </row>
    <row r="45" spans="3:40" s="5" customFormat="1" x14ac:dyDescent="0.55000000000000004">
      <c r="C45" s="5">
        <v>1</v>
      </c>
      <c r="G45" s="5">
        <v>1</v>
      </c>
      <c r="H45" s="49" t="s">
        <v>240</v>
      </c>
      <c r="I45" s="5" t="s">
        <v>16</v>
      </c>
      <c r="J45" s="5">
        <v>230000</v>
      </c>
      <c r="L45" s="5">
        <v>3</v>
      </c>
      <c r="M45" s="48" t="s">
        <v>37</v>
      </c>
      <c r="Z45" s="5">
        <f t="shared" si="5"/>
        <v>1</v>
      </c>
      <c r="AA45" s="5">
        <f t="shared" si="6"/>
        <v>0</v>
      </c>
      <c r="AB45" s="5">
        <f t="shared" si="7"/>
        <v>0</v>
      </c>
      <c r="AC45" s="5">
        <f t="shared" si="8"/>
        <v>0</v>
      </c>
      <c r="AD45" s="5">
        <f t="shared" si="9"/>
        <v>0</v>
      </c>
      <c r="AE45" s="5">
        <f t="shared" si="10"/>
        <v>230000</v>
      </c>
      <c r="AF45" s="5">
        <f t="shared" si="11"/>
        <v>0</v>
      </c>
      <c r="AG45" s="5">
        <f t="shared" si="12"/>
        <v>0</v>
      </c>
      <c r="AH45" s="5">
        <f t="shared" si="13"/>
        <v>0</v>
      </c>
      <c r="AI45" s="5">
        <f t="shared" si="14"/>
        <v>0</v>
      </c>
      <c r="AJ45" s="5">
        <f t="shared" si="15"/>
        <v>0</v>
      </c>
      <c r="AK45" s="5">
        <f t="shared" si="16"/>
        <v>0</v>
      </c>
      <c r="AL45" s="5">
        <f t="shared" si="3"/>
        <v>0</v>
      </c>
      <c r="AN45" s="5">
        <f t="shared" si="4"/>
        <v>3</v>
      </c>
    </row>
    <row r="46" spans="3:40" s="5" customFormat="1" x14ac:dyDescent="0.55000000000000004">
      <c r="C46" s="5">
        <v>1</v>
      </c>
      <c r="G46" s="5">
        <v>1</v>
      </c>
      <c r="H46" s="49" t="s">
        <v>241</v>
      </c>
      <c r="I46" s="5" t="s">
        <v>36</v>
      </c>
      <c r="J46" s="5">
        <v>110000</v>
      </c>
      <c r="L46" s="5">
        <v>3</v>
      </c>
      <c r="M46" s="48" t="s">
        <v>38</v>
      </c>
      <c r="Z46" s="5">
        <f t="shared" si="5"/>
        <v>1</v>
      </c>
      <c r="AA46" s="5">
        <f t="shared" si="6"/>
        <v>0</v>
      </c>
      <c r="AB46" s="5">
        <f t="shared" si="7"/>
        <v>0</v>
      </c>
      <c r="AC46" s="5">
        <f t="shared" si="8"/>
        <v>0</v>
      </c>
      <c r="AD46" s="5">
        <f t="shared" si="9"/>
        <v>0</v>
      </c>
      <c r="AE46" s="5">
        <f t="shared" si="10"/>
        <v>110000</v>
      </c>
      <c r="AF46" s="5">
        <f t="shared" si="11"/>
        <v>0</v>
      </c>
      <c r="AG46" s="5">
        <f t="shared" si="12"/>
        <v>0</v>
      </c>
      <c r="AH46" s="5">
        <f t="shared" si="13"/>
        <v>0</v>
      </c>
      <c r="AI46" s="5">
        <f t="shared" si="14"/>
        <v>0</v>
      </c>
      <c r="AJ46" s="5">
        <f t="shared" si="15"/>
        <v>0</v>
      </c>
      <c r="AK46" s="5">
        <f t="shared" si="16"/>
        <v>0</v>
      </c>
      <c r="AL46" s="5">
        <f t="shared" si="3"/>
        <v>0</v>
      </c>
      <c r="AN46" s="5">
        <f t="shared" si="4"/>
        <v>3</v>
      </c>
    </row>
    <row r="47" spans="3:40" s="5" customFormat="1" x14ac:dyDescent="0.55000000000000004">
      <c r="C47" s="5">
        <v>1</v>
      </c>
      <c r="G47" s="5">
        <v>1</v>
      </c>
      <c r="H47" s="49"/>
      <c r="I47" s="5" t="s">
        <v>25</v>
      </c>
      <c r="J47" s="5">
        <v>80000</v>
      </c>
      <c r="L47" s="5">
        <v>3</v>
      </c>
      <c r="M47" s="48" t="s">
        <v>102</v>
      </c>
      <c r="Z47" s="5">
        <f t="shared" si="5"/>
        <v>1</v>
      </c>
      <c r="AA47" s="5">
        <f t="shared" si="6"/>
        <v>0</v>
      </c>
      <c r="AB47" s="5">
        <f t="shared" si="7"/>
        <v>0</v>
      </c>
      <c r="AC47" s="5">
        <f t="shared" si="8"/>
        <v>0</v>
      </c>
      <c r="AD47" s="5">
        <f t="shared" si="9"/>
        <v>0</v>
      </c>
      <c r="AE47" s="5">
        <f t="shared" si="10"/>
        <v>80000</v>
      </c>
      <c r="AF47" s="5">
        <f t="shared" si="11"/>
        <v>0</v>
      </c>
      <c r="AG47" s="5">
        <f t="shared" si="12"/>
        <v>0</v>
      </c>
      <c r="AH47" s="5">
        <f t="shared" si="13"/>
        <v>0</v>
      </c>
      <c r="AI47" s="5">
        <f t="shared" si="14"/>
        <v>0</v>
      </c>
      <c r="AJ47" s="5">
        <f t="shared" si="15"/>
        <v>0</v>
      </c>
      <c r="AK47" s="5">
        <f t="shared" si="16"/>
        <v>0</v>
      </c>
      <c r="AL47" s="5">
        <f t="shared" si="3"/>
        <v>0</v>
      </c>
      <c r="AN47" s="5">
        <f t="shared" si="4"/>
        <v>3</v>
      </c>
    </row>
    <row r="48" spans="3:40" s="5" customFormat="1" x14ac:dyDescent="0.55000000000000004">
      <c r="C48" s="15">
        <v>1</v>
      </c>
      <c r="G48" s="15">
        <v>1</v>
      </c>
      <c r="H48" s="49"/>
      <c r="I48" s="15" t="s">
        <v>221</v>
      </c>
      <c r="J48" s="15">
        <v>80000</v>
      </c>
      <c r="L48" s="15">
        <v>9</v>
      </c>
      <c r="M48" s="48" t="s">
        <v>222</v>
      </c>
      <c r="Z48" s="15">
        <f t="shared" si="5"/>
        <v>1</v>
      </c>
      <c r="AA48" s="15">
        <f t="shared" si="6"/>
        <v>0</v>
      </c>
      <c r="AC48" s="15">
        <f t="shared" si="8"/>
        <v>0</v>
      </c>
      <c r="AE48" s="15">
        <f t="shared" si="10"/>
        <v>80000</v>
      </c>
      <c r="AF48" s="15">
        <f t="shared" si="11"/>
        <v>0</v>
      </c>
      <c r="AG48" s="15">
        <f t="shared" si="12"/>
        <v>0</v>
      </c>
      <c r="AI48" s="15">
        <f t="shared" si="14"/>
        <v>0</v>
      </c>
      <c r="AK48" s="15">
        <f t="shared" si="16"/>
        <v>0</v>
      </c>
      <c r="AN48" s="15">
        <f t="shared" si="4"/>
        <v>9</v>
      </c>
    </row>
    <row r="49" spans="3:40" s="5" customFormat="1" x14ac:dyDescent="0.55000000000000004">
      <c r="C49" s="15">
        <v>1</v>
      </c>
      <c r="G49" s="15">
        <v>1</v>
      </c>
      <c r="H49" s="49">
        <v>24</v>
      </c>
      <c r="I49" s="15" t="s">
        <v>17</v>
      </c>
      <c r="J49" s="15"/>
      <c r="K49" s="5">
        <f>$K$6*$I$4*H49</f>
        <v>46080</v>
      </c>
      <c r="L49" s="15">
        <v>3</v>
      </c>
      <c r="M49" s="48"/>
      <c r="Z49" s="15">
        <f t="shared" si="5"/>
        <v>1</v>
      </c>
      <c r="AA49" s="15">
        <f t="shared" ref="AA49" si="17">A49*J49</f>
        <v>0</v>
      </c>
      <c r="AC49" s="15">
        <f t="shared" ref="AC49" si="18">B49*J49</f>
        <v>0</v>
      </c>
      <c r="AE49" s="15">
        <f t="shared" ref="AE49" si="19">C49*J49</f>
        <v>0</v>
      </c>
      <c r="AF49" s="15">
        <f t="shared" ref="AF49" si="20">C49*K49</f>
        <v>46080</v>
      </c>
      <c r="AG49" s="15">
        <f t="shared" ref="AG49" si="21">D49*J49</f>
        <v>0</v>
      </c>
      <c r="AI49" s="15">
        <f t="shared" ref="AI49" si="22">E49*J49</f>
        <v>0</v>
      </c>
      <c r="AK49" s="15">
        <f t="shared" ref="AK49" si="23">F49*J49</f>
        <v>0</v>
      </c>
      <c r="AN49" s="15">
        <f t="shared" si="4"/>
        <v>3</v>
      </c>
    </row>
    <row r="50" spans="3:40" s="5" customFormat="1" x14ac:dyDescent="0.55000000000000004">
      <c r="C50" s="5">
        <v>1</v>
      </c>
      <c r="G50" s="5">
        <v>1</v>
      </c>
      <c r="H50" s="49" t="s">
        <v>239</v>
      </c>
      <c r="I50" s="5" t="s">
        <v>24</v>
      </c>
      <c r="J50" s="5">
        <v>215000</v>
      </c>
      <c r="L50" s="5">
        <v>3</v>
      </c>
      <c r="M50" s="48" t="s">
        <v>39</v>
      </c>
      <c r="Z50" s="5">
        <f t="shared" si="5"/>
        <v>1</v>
      </c>
      <c r="AA50" s="5">
        <f t="shared" si="6"/>
        <v>0</v>
      </c>
      <c r="AB50" s="5">
        <f t="shared" si="7"/>
        <v>0</v>
      </c>
      <c r="AC50" s="5">
        <f t="shared" si="8"/>
        <v>0</v>
      </c>
      <c r="AD50" s="5">
        <f t="shared" si="9"/>
        <v>0</v>
      </c>
      <c r="AE50" s="5">
        <f t="shared" si="10"/>
        <v>215000</v>
      </c>
      <c r="AF50" s="5">
        <f t="shared" si="11"/>
        <v>0</v>
      </c>
      <c r="AG50" s="5">
        <f t="shared" si="12"/>
        <v>0</v>
      </c>
      <c r="AH50" s="5">
        <f t="shared" si="13"/>
        <v>0</v>
      </c>
      <c r="AI50" s="5">
        <f t="shared" si="14"/>
        <v>0</v>
      </c>
      <c r="AJ50" s="5">
        <f t="shared" si="15"/>
        <v>0</v>
      </c>
      <c r="AK50" s="5">
        <f t="shared" si="16"/>
        <v>0</v>
      </c>
      <c r="AL50" s="5">
        <f t="shared" si="3"/>
        <v>0</v>
      </c>
      <c r="AN50" s="5">
        <f t="shared" ref="AN50:AN59" si="24">L50</f>
        <v>3</v>
      </c>
    </row>
    <row r="51" spans="3:40" s="5" customFormat="1" x14ac:dyDescent="0.55000000000000004">
      <c r="C51" s="5">
        <v>1</v>
      </c>
      <c r="G51" s="5">
        <v>1</v>
      </c>
      <c r="H51" s="49" t="s">
        <v>238</v>
      </c>
      <c r="I51" s="5" t="s">
        <v>24</v>
      </c>
      <c r="J51" s="5">
        <v>215000</v>
      </c>
      <c r="L51" s="5">
        <v>3</v>
      </c>
      <c r="M51" s="48" t="s">
        <v>39</v>
      </c>
      <c r="Z51" s="5">
        <f t="shared" si="5"/>
        <v>1</v>
      </c>
      <c r="AA51" s="5">
        <f t="shared" si="6"/>
        <v>0</v>
      </c>
      <c r="AB51" s="5">
        <f t="shared" si="7"/>
        <v>0</v>
      </c>
      <c r="AC51" s="5">
        <f t="shared" si="8"/>
        <v>0</v>
      </c>
      <c r="AD51" s="5">
        <f t="shared" si="9"/>
        <v>0</v>
      </c>
      <c r="AE51" s="5">
        <f t="shared" si="10"/>
        <v>215000</v>
      </c>
      <c r="AF51" s="5">
        <f t="shared" si="11"/>
        <v>0</v>
      </c>
      <c r="AG51" s="5">
        <f t="shared" si="12"/>
        <v>0</v>
      </c>
      <c r="AH51" s="5">
        <f t="shared" si="13"/>
        <v>0</v>
      </c>
      <c r="AI51" s="5">
        <f t="shared" si="14"/>
        <v>0</v>
      </c>
      <c r="AJ51" s="5">
        <f t="shared" si="15"/>
        <v>0</v>
      </c>
      <c r="AK51" s="5">
        <f t="shared" si="16"/>
        <v>0</v>
      </c>
      <c r="AL51" s="5">
        <f t="shared" si="3"/>
        <v>0</v>
      </c>
      <c r="AN51" s="5">
        <f t="shared" si="24"/>
        <v>3</v>
      </c>
    </row>
    <row r="52" spans="3:40" s="5" customFormat="1" x14ac:dyDescent="0.55000000000000004">
      <c r="H52" s="49"/>
      <c r="I52" s="15" t="s">
        <v>231</v>
      </c>
      <c r="J52" s="15">
        <v>40000</v>
      </c>
      <c r="L52" s="15">
        <v>9</v>
      </c>
      <c r="M52" s="48" t="s">
        <v>272</v>
      </c>
      <c r="Z52" s="5">
        <f t="shared" ref="Z52" si="25">G52</f>
        <v>0</v>
      </c>
      <c r="AA52" s="5">
        <f t="shared" ref="AA52" si="26">A52*J52</f>
        <v>0</v>
      </c>
      <c r="AB52" s="5">
        <f t="shared" ref="AB52" si="27">A52*K52</f>
        <v>0</v>
      </c>
      <c r="AC52" s="5">
        <f t="shared" ref="AC52" si="28">B52*J52</f>
        <v>0</v>
      </c>
      <c r="AD52" s="5">
        <f t="shared" ref="AD52" si="29">B52*K52</f>
        <v>0</v>
      </c>
      <c r="AE52" s="5">
        <f t="shared" ref="AE52" si="30">C52*J52</f>
        <v>0</v>
      </c>
      <c r="AF52" s="5">
        <f t="shared" ref="AF52" si="31">C52*K52</f>
        <v>0</v>
      </c>
      <c r="AG52" s="5">
        <f t="shared" ref="AG52" si="32">D52*J52</f>
        <v>0</v>
      </c>
      <c r="AH52" s="5">
        <f t="shared" ref="AH52" si="33">D52*K52</f>
        <v>0</v>
      </c>
      <c r="AI52" s="5">
        <f t="shared" ref="AI52" si="34">E52*J52</f>
        <v>0</v>
      </c>
      <c r="AJ52" s="5">
        <f t="shared" ref="AJ52" si="35">E52*K52</f>
        <v>0</v>
      </c>
      <c r="AK52" s="5">
        <f t="shared" ref="AK52" si="36">F52*J52</f>
        <v>0</v>
      </c>
      <c r="AL52" s="5">
        <f t="shared" ref="AL52" si="37">F52*K52</f>
        <v>0</v>
      </c>
      <c r="AN52" s="5">
        <f t="shared" ref="AN52" si="38">L52</f>
        <v>9</v>
      </c>
    </row>
    <row r="53" spans="3:40" s="5" customFormat="1" x14ac:dyDescent="0.55000000000000004">
      <c r="C53" s="5">
        <v>1</v>
      </c>
      <c r="G53" s="5">
        <v>1</v>
      </c>
      <c r="H53" s="50"/>
      <c r="I53" s="5" t="s">
        <v>25</v>
      </c>
      <c r="J53" s="5">
        <v>56000</v>
      </c>
      <c r="L53" s="5">
        <v>3</v>
      </c>
      <c r="M53" s="48" t="s">
        <v>103</v>
      </c>
      <c r="Z53" s="5">
        <f t="shared" si="5"/>
        <v>1</v>
      </c>
      <c r="AA53" s="5">
        <f t="shared" si="6"/>
        <v>0</v>
      </c>
      <c r="AB53" s="5">
        <f t="shared" si="7"/>
        <v>0</v>
      </c>
      <c r="AC53" s="5">
        <f t="shared" si="8"/>
        <v>0</v>
      </c>
      <c r="AD53" s="5">
        <f t="shared" si="9"/>
        <v>0</v>
      </c>
      <c r="AE53" s="5">
        <f t="shared" si="10"/>
        <v>56000</v>
      </c>
      <c r="AF53" s="5">
        <f t="shared" si="11"/>
        <v>0</v>
      </c>
      <c r="AG53" s="5">
        <f t="shared" si="12"/>
        <v>0</v>
      </c>
      <c r="AH53" s="5">
        <f t="shared" si="13"/>
        <v>0</v>
      </c>
      <c r="AI53" s="5">
        <f t="shared" si="14"/>
        <v>0</v>
      </c>
      <c r="AJ53" s="5">
        <f t="shared" si="15"/>
        <v>0</v>
      </c>
      <c r="AK53" s="5">
        <f t="shared" si="16"/>
        <v>0</v>
      </c>
      <c r="AL53" s="5">
        <f t="shared" si="3"/>
        <v>0</v>
      </c>
      <c r="AN53" s="5">
        <f t="shared" si="24"/>
        <v>3</v>
      </c>
    </row>
    <row r="54" spans="3:40" s="5" customFormat="1" x14ac:dyDescent="0.55000000000000004">
      <c r="C54" s="5">
        <v>0.6</v>
      </c>
      <c r="D54" s="5">
        <v>0.3</v>
      </c>
      <c r="F54" s="5">
        <v>0.1</v>
      </c>
      <c r="G54" s="5">
        <v>1</v>
      </c>
      <c r="H54" s="50">
        <v>24</v>
      </c>
      <c r="I54" s="5" t="s">
        <v>17</v>
      </c>
      <c r="K54" s="5">
        <f>$K$6*$I$4*H54</f>
        <v>46080</v>
      </c>
      <c r="L54" s="5">
        <v>3</v>
      </c>
      <c r="M54" s="48" t="s">
        <v>223</v>
      </c>
      <c r="Z54" s="5">
        <f t="shared" si="5"/>
        <v>1</v>
      </c>
      <c r="AA54" s="5">
        <f t="shared" si="6"/>
        <v>0</v>
      </c>
      <c r="AB54" s="5">
        <f t="shared" si="7"/>
        <v>0</v>
      </c>
      <c r="AC54" s="5">
        <f t="shared" si="8"/>
        <v>0</v>
      </c>
      <c r="AD54" s="5">
        <f t="shared" si="9"/>
        <v>0</v>
      </c>
      <c r="AE54" s="5">
        <f t="shared" si="10"/>
        <v>0</v>
      </c>
      <c r="AF54" s="5">
        <f t="shared" si="11"/>
        <v>27648</v>
      </c>
      <c r="AG54" s="5">
        <f t="shared" si="12"/>
        <v>0</v>
      </c>
      <c r="AH54" s="5">
        <f t="shared" si="13"/>
        <v>13824</v>
      </c>
      <c r="AI54" s="5">
        <f t="shared" si="14"/>
        <v>0</v>
      </c>
      <c r="AJ54" s="5">
        <f t="shared" si="15"/>
        <v>0</v>
      </c>
      <c r="AK54" s="5">
        <f t="shared" si="16"/>
        <v>0</v>
      </c>
      <c r="AL54" s="5">
        <f t="shared" si="3"/>
        <v>4608</v>
      </c>
      <c r="AN54" s="5">
        <f t="shared" si="24"/>
        <v>3</v>
      </c>
    </row>
    <row r="55" spans="3:40" s="5" customFormat="1" x14ac:dyDescent="0.55000000000000004">
      <c r="H55" s="50"/>
      <c r="M55" s="48"/>
      <c r="Z55" s="5">
        <f t="shared" si="5"/>
        <v>0</v>
      </c>
      <c r="AA55" s="5">
        <f t="shared" si="6"/>
        <v>0</v>
      </c>
      <c r="AB55" s="5">
        <f t="shared" si="7"/>
        <v>0</v>
      </c>
      <c r="AC55" s="5">
        <f t="shared" si="8"/>
        <v>0</v>
      </c>
      <c r="AD55" s="5">
        <f t="shared" si="9"/>
        <v>0</v>
      </c>
      <c r="AE55" s="5">
        <f t="shared" si="10"/>
        <v>0</v>
      </c>
      <c r="AF55" s="5">
        <f t="shared" si="11"/>
        <v>0</v>
      </c>
      <c r="AG55" s="5">
        <f t="shared" si="12"/>
        <v>0</v>
      </c>
      <c r="AH55" s="5">
        <f t="shared" si="13"/>
        <v>0</v>
      </c>
      <c r="AI55" s="5">
        <f t="shared" si="14"/>
        <v>0</v>
      </c>
      <c r="AJ55" s="5">
        <f t="shared" si="15"/>
        <v>0</v>
      </c>
      <c r="AK55" s="5">
        <f t="shared" si="16"/>
        <v>0</v>
      </c>
      <c r="AL55" s="5">
        <f t="shared" si="3"/>
        <v>0</v>
      </c>
      <c r="AN55" s="5">
        <f t="shared" si="24"/>
        <v>0</v>
      </c>
    </row>
    <row r="56" spans="3:40" s="5" customFormat="1" x14ac:dyDescent="0.55000000000000004">
      <c r="H56" s="50"/>
      <c r="M56" s="48"/>
      <c r="Z56" s="5">
        <f t="shared" si="5"/>
        <v>0</v>
      </c>
      <c r="AA56" s="5">
        <f t="shared" si="6"/>
        <v>0</v>
      </c>
      <c r="AB56" s="5">
        <f t="shared" si="7"/>
        <v>0</v>
      </c>
      <c r="AC56" s="5">
        <f t="shared" si="8"/>
        <v>0</v>
      </c>
      <c r="AD56" s="5">
        <f t="shared" si="9"/>
        <v>0</v>
      </c>
      <c r="AE56" s="5">
        <f t="shared" si="10"/>
        <v>0</v>
      </c>
      <c r="AF56" s="5">
        <f t="shared" si="11"/>
        <v>0</v>
      </c>
      <c r="AG56" s="5">
        <f t="shared" si="12"/>
        <v>0</v>
      </c>
      <c r="AH56" s="5">
        <f t="shared" si="13"/>
        <v>0</v>
      </c>
      <c r="AI56" s="5">
        <f t="shared" si="14"/>
        <v>0</v>
      </c>
      <c r="AJ56" s="5">
        <f t="shared" si="15"/>
        <v>0</v>
      </c>
      <c r="AK56" s="5">
        <f t="shared" si="16"/>
        <v>0</v>
      </c>
      <c r="AL56" s="5">
        <f t="shared" si="3"/>
        <v>0</v>
      </c>
      <c r="AN56" s="5">
        <f t="shared" si="24"/>
        <v>0</v>
      </c>
    </row>
    <row r="57" spans="3:40" s="5" customFormat="1" x14ac:dyDescent="0.55000000000000004">
      <c r="H57" s="50"/>
      <c r="I57" s="12" t="s">
        <v>43</v>
      </c>
      <c r="M57" s="48"/>
      <c r="Z57" s="5">
        <f t="shared" si="5"/>
        <v>0</v>
      </c>
      <c r="AA57" s="5">
        <f t="shared" si="6"/>
        <v>0</v>
      </c>
      <c r="AB57" s="5">
        <f t="shared" si="7"/>
        <v>0</v>
      </c>
      <c r="AC57" s="5">
        <f t="shared" si="8"/>
        <v>0</v>
      </c>
      <c r="AD57" s="5">
        <f t="shared" si="9"/>
        <v>0</v>
      </c>
      <c r="AE57" s="5">
        <f t="shared" si="10"/>
        <v>0</v>
      </c>
      <c r="AF57" s="5">
        <f t="shared" si="11"/>
        <v>0</v>
      </c>
      <c r="AG57" s="5">
        <f t="shared" si="12"/>
        <v>0</v>
      </c>
      <c r="AH57" s="5">
        <f t="shared" si="13"/>
        <v>0</v>
      </c>
      <c r="AI57" s="5">
        <f t="shared" si="14"/>
        <v>0</v>
      </c>
      <c r="AJ57" s="5">
        <f t="shared" si="15"/>
        <v>0</v>
      </c>
      <c r="AK57" s="5">
        <f t="shared" si="16"/>
        <v>0</v>
      </c>
      <c r="AL57" s="5">
        <f t="shared" si="3"/>
        <v>0</v>
      </c>
      <c r="AN57" s="5">
        <f t="shared" si="24"/>
        <v>0</v>
      </c>
    </row>
    <row r="58" spans="3:40" s="5" customFormat="1" x14ac:dyDescent="0.55000000000000004">
      <c r="C58" s="5">
        <v>1</v>
      </c>
      <c r="G58" s="5">
        <v>3</v>
      </c>
      <c r="H58" s="49" t="s">
        <v>242</v>
      </c>
      <c r="I58" s="5" t="s">
        <v>36</v>
      </c>
      <c r="J58" s="5">
        <v>110000</v>
      </c>
      <c r="L58" s="5">
        <v>3</v>
      </c>
      <c r="M58" s="48" t="s">
        <v>46</v>
      </c>
      <c r="Z58" s="5">
        <f t="shared" si="5"/>
        <v>3</v>
      </c>
      <c r="AA58" s="5">
        <f t="shared" si="6"/>
        <v>0</v>
      </c>
      <c r="AB58" s="5">
        <f t="shared" si="7"/>
        <v>0</v>
      </c>
      <c r="AC58" s="5">
        <f t="shared" si="8"/>
        <v>0</v>
      </c>
      <c r="AD58" s="5">
        <f t="shared" si="9"/>
        <v>0</v>
      </c>
      <c r="AE58" s="5">
        <f t="shared" si="10"/>
        <v>110000</v>
      </c>
      <c r="AF58" s="5">
        <f t="shared" si="11"/>
        <v>0</v>
      </c>
      <c r="AG58" s="5">
        <f t="shared" si="12"/>
        <v>0</v>
      </c>
      <c r="AH58" s="5">
        <f t="shared" si="13"/>
        <v>0</v>
      </c>
      <c r="AI58" s="5">
        <f t="shared" si="14"/>
        <v>0</v>
      </c>
      <c r="AJ58" s="5">
        <f t="shared" si="15"/>
        <v>0</v>
      </c>
      <c r="AK58" s="5">
        <f t="shared" si="16"/>
        <v>0</v>
      </c>
      <c r="AL58" s="5">
        <f t="shared" si="3"/>
        <v>0</v>
      </c>
      <c r="AN58" s="5">
        <f t="shared" si="24"/>
        <v>3</v>
      </c>
    </row>
    <row r="59" spans="3:40" s="5" customFormat="1" x14ac:dyDescent="0.55000000000000004">
      <c r="C59" s="5">
        <v>1</v>
      </c>
      <c r="G59" s="5">
        <v>3</v>
      </c>
      <c r="H59" s="49" t="s">
        <v>44</v>
      </c>
      <c r="I59" s="5" t="s">
        <v>36</v>
      </c>
      <c r="J59" s="5">
        <v>110000</v>
      </c>
      <c r="L59" s="5">
        <v>3</v>
      </c>
      <c r="M59" s="48" t="s">
        <v>46</v>
      </c>
      <c r="Z59" s="5">
        <f t="shared" si="5"/>
        <v>3</v>
      </c>
      <c r="AA59" s="5">
        <f t="shared" si="6"/>
        <v>0</v>
      </c>
      <c r="AB59" s="5">
        <f t="shared" si="7"/>
        <v>0</v>
      </c>
      <c r="AC59" s="5">
        <f t="shared" si="8"/>
        <v>0</v>
      </c>
      <c r="AD59" s="5">
        <f t="shared" si="9"/>
        <v>0</v>
      </c>
      <c r="AE59" s="5">
        <f t="shared" si="10"/>
        <v>110000</v>
      </c>
      <c r="AF59" s="5">
        <f t="shared" si="11"/>
        <v>0</v>
      </c>
      <c r="AG59" s="5">
        <f t="shared" si="12"/>
        <v>0</v>
      </c>
      <c r="AH59" s="5">
        <f t="shared" si="13"/>
        <v>0</v>
      </c>
      <c r="AI59" s="5">
        <f t="shared" si="14"/>
        <v>0</v>
      </c>
      <c r="AJ59" s="5">
        <f t="shared" si="15"/>
        <v>0</v>
      </c>
      <c r="AK59" s="5">
        <f t="shared" si="16"/>
        <v>0</v>
      </c>
      <c r="AL59" s="5">
        <f t="shared" si="3"/>
        <v>0</v>
      </c>
      <c r="AN59" s="5">
        <f t="shared" si="24"/>
        <v>3</v>
      </c>
    </row>
    <row r="60" spans="3:40" s="5" customFormat="1" x14ac:dyDescent="0.55000000000000004">
      <c r="C60" s="5">
        <v>1</v>
      </c>
      <c r="G60" s="5">
        <v>3</v>
      </c>
      <c r="H60" s="49"/>
      <c r="I60" s="15" t="s">
        <v>224</v>
      </c>
      <c r="J60" s="5">
        <v>50000</v>
      </c>
      <c r="L60" s="5">
        <v>9</v>
      </c>
      <c r="M60" s="48" t="s">
        <v>225</v>
      </c>
      <c r="Z60" s="5">
        <v>3</v>
      </c>
      <c r="AA60" s="5">
        <f t="shared" ref="AA60" si="39">A60*J60</f>
        <v>0</v>
      </c>
      <c r="AB60" s="5">
        <f t="shared" ref="AB60" si="40">A60*K60</f>
        <v>0</v>
      </c>
      <c r="AC60" s="5">
        <f t="shared" ref="AC60" si="41">B60*J60</f>
        <v>0</v>
      </c>
      <c r="AD60" s="5">
        <f t="shared" ref="AD60" si="42">B60*K60</f>
        <v>0</v>
      </c>
      <c r="AE60" s="5">
        <f t="shared" ref="AE60" si="43">C60*J60</f>
        <v>50000</v>
      </c>
      <c r="AF60" s="5">
        <f t="shared" ref="AF60" si="44">C60*K60</f>
        <v>0</v>
      </c>
      <c r="AG60" s="5">
        <f t="shared" ref="AG60" si="45">D60*J60</f>
        <v>0</v>
      </c>
      <c r="AH60" s="5">
        <f t="shared" ref="AH60" si="46">D60*K60</f>
        <v>0</v>
      </c>
      <c r="AI60" s="5">
        <f t="shared" ref="AI60" si="47">E60*J60</f>
        <v>0</v>
      </c>
      <c r="AJ60" s="5">
        <f t="shared" ref="AJ60" si="48">E60*K60</f>
        <v>0</v>
      </c>
      <c r="AK60" s="5">
        <f t="shared" ref="AK60" si="49">F60*J60</f>
        <v>0</v>
      </c>
      <c r="AL60" s="5">
        <f t="shared" ref="AL60" si="50">F60*K60</f>
        <v>0</v>
      </c>
    </row>
    <row r="61" spans="3:40" s="5" customFormat="1" x14ac:dyDescent="0.55000000000000004">
      <c r="C61" s="5">
        <v>1</v>
      </c>
      <c r="G61" s="5">
        <v>3</v>
      </c>
      <c r="H61" s="50"/>
      <c r="I61" s="5" t="s">
        <v>25</v>
      </c>
      <c r="J61" s="5">
        <v>40000</v>
      </c>
      <c r="L61" s="5">
        <v>3</v>
      </c>
      <c r="M61" s="48" t="s">
        <v>48</v>
      </c>
      <c r="Z61" s="5">
        <f t="shared" si="5"/>
        <v>3</v>
      </c>
      <c r="AA61" s="5">
        <f t="shared" si="6"/>
        <v>0</v>
      </c>
      <c r="AB61" s="5">
        <f t="shared" si="7"/>
        <v>0</v>
      </c>
      <c r="AC61" s="5">
        <f t="shared" si="8"/>
        <v>0</v>
      </c>
      <c r="AD61" s="5">
        <f t="shared" si="9"/>
        <v>0</v>
      </c>
      <c r="AE61" s="5">
        <f t="shared" si="10"/>
        <v>40000</v>
      </c>
      <c r="AF61" s="5">
        <f t="shared" si="11"/>
        <v>0</v>
      </c>
      <c r="AG61" s="5">
        <f t="shared" si="12"/>
        <v>0</v>
      </c>
      <c r="AH61" s="5">
        <f t="shared" si="13"/>
        <v>0</v>
      </c>
      <c r="AI61" s="5">
        <f t="shared" si="14"/>
        <v>0</v>
      </c>
      <c r="AJ61" s="5">
        <f t="shared" si="15"/>
        <v>0</v>
      </c>
      <c r="AK61" s="5">
        <f t="shared" si="16"/>
        <v>0</v>
      </c>
      <c r="AL61" s="5">
        <f t="shared" si="3"/>
        <v>0</v>
      </c>
      <c r="AN61" s="5">
        <f t="shared" ref="AN61:AN93" si="51">L61</f>
        <v>3</v>
      </c>
    </row>
    <row r="62" spans="3:40" s="5" customFormat="1" x14ac:dyDescent="0.55000000000000004">
      <c r="C62" s="5">
        <v>1</v>
      </c>
      <c r="G62" s="5">
        <v>3</v>
      </c>
      <c r="H62" s="50">
        <v>36</v>
      </c>
      <c r="I62" s="5" t="s">
        <v>17</v>
      </c>
      <c r="K62" s="5">
        <f>$K$6*$I$4*H62</f>
        <v>69120</v>
      </c>
      <c r="L62" s="5">
        <v>3</v>
      </c>
      <c r="M62" s="48"/>
      <c r="Z62" s="5">
        <f t="shared" si="5"/>
        <v>3</v>
      </c>
      <c r="AA62" s="5">
        <f t="shared" si="6"/>
        <v>0</v>
      </c>
      <c r="AB62" s="5">
        <f t="shared" si="7"/>
        <v>0</v>
      </c>
      <c r="AC62" s="5">
        <f t="shared" si="8"/>
        <v>0</v>
      </c>
      <c r="AD62" s="5">
        <f t="shared" si="9"/>
        <v>0</v>
      </c>
      <c r="AE62" s="5">
        <f t="shared" si="10"/>
        <v>0</v>
      </c>
      <c r="AF62" s="5">
        <f t="shared" si="11"/>
        <v>69120</v>
      </c>
      <c r="AG62" s="5">
        <f t="shared" si="12"/>
        <v>0</v>
      </c>
      <c r="AH62" s="5">
        <f t="shared" si="13"/>
        <v>0</v>
      </c>
      <c r="AI62" s="5">
        <f t="shared" si="14"/>
        <v>0</v>
      </c>
      <c r="AJ62" s="5">
        <f t="shared" si="15"/>
        <v>0</v>
      </c>
      <c r="AK62" s="5">
        <f t="shared" si="16"/>
        <v>0</v>
      </c>
      <c r="AL62" s="5">
        <f t="shared" si="3"/>
        <v>0</v>
      </c>
      <c r="AN62" s="5">
        <f t="shared" si="51"/>
        <v>3</v>
      </c>
    </row>
    <row r="63" spans="3:40" s="5" customFormat="1" x14ac:dyDescent="0.55000000000000004">
      <c r="H63" s="50"/>
      <c r="M63" s="48"/>
      <c r="Z63" s="5">
        <f t="shared" si="5"/>
        <v>0</v>
      </c>
      <c r="AA63" s="5">
        <f t="shared" si="6"/>
        <v>0</v>
      </c>
      <c r="AB63" s="5">
        <f t="shared" si="7"/>
        <v>0</v>
      </c>
      <c r="AC63" s="5">
        <f t="shared" si="8"/>
        <v>0</v>
      </c>
      <c r="AD63" s="5">
        <f t="shared" si="9"/>
        <v>0</v>
      </c>
      <c r="AE63" s="5">
        <f t="shared" si="10"/>
        <v>0</v>
      </c>
      <c r="AF63" s="5">
        <f t="shared" si="11"/>
        <v>0</v>
      </c>
      <c r="AG63" s="5">
        <f t="shared" si="12"/>
        <v>0</v>
      </c>
      <c r="AH63" s="5">
        <f t="shared" si="13"/>
        <v>0</v>
      </c>
      <c r="AI63" s="5">
        <f t="shared" si="14"/>
        <v>0</v>
      </c>
      <c r="AJ63" s="5">
        <f t="shared" si="15"/>
        <v>0</v>
      </c>
      <c r="AK63" s="5">
        <f t="shared" si="16"/>
        <v>0</v>
      </c>
      <c r="AL63" s="5">
        <f t="shared" si="3"/>
        <v>0</v>
      </c>
      <c r="AN63" s="5">
        <f t="shared" si="51"/>
        <v>0</v>
      </c>
    </row>
    <row r="64" spans="3:40" s="5" customFormat="1" x14ac:dyDescent="0.55000000000000004">
      <c r="H64" s="47" t="s">
        <v>50</v>
      </c>
      <c r="M64" s="48"/>
      <c r="Z64" s="5">
        <f t="shared" si="5"/>
        <v>0</v>
      </c>
      <c r="AA64" s="5">
        <f t="shared" si="6"/>
        <v>0</v>
      </c>
      <c r="AB64" s="5">
        <f t="shared" si="7"/>
        <v>0</v>
      </c>
      <c r="AC64" s="5">
        <f t="shared" si="8"/>
        <v>0</v>
      </c>
      <c r="AD64" s="5">
        <f t="shared" si="9"/>
        <v>0</v>
      </c>
      <c r="AE64" s="5">
        <f t="shared" si="10"/>
        <v>0</v>
      </c>
      <c r="AF64" s="5">
        <f t="shared" si="11"/>
        <v>0</v>
      </c>
      <c r="AG64" s="5">
        <f t="shared" si="12"/>
        <v>0</v>
      </c>
      <c r="AH64" s="5">
        <f t="shared" si="13"/>
        <v>0</v>
      </c>
      <c r="AI64" s="5">
        <f t="shared" si="14"/>
        <v>0</v>
      </c>
      <c r="AJ64" s="5">
        <f t="shared" si="15"/>
        <v>0</v>
      </c>
      <c r="AK64" s="5">
        <f t="shared" si="16"/>
        <v>0</v>
      </c>
      <c r="AL64" s="5">
        <f t="shared" si="3"/>
        <v>0</v>
      </c>
      <c r="AN64" s="5">
        <f t="shared" si="51"/>
        <v>0</v>
      </c>
    </row>
    <row r="65" spans="3:40" s="5" customFormat="1" x14ac:dyDescent="0.55000000000000004">
      <c r="C65" s="5">
        <v>1</v>
      </c>
      <c r="G65" s="5">
        <v>1</v>
      </c>
      <c r="H65" s="50"/>
      <c r="I65" s="5" t="s">
        <v>291</v>
      </c>
      <c r="J65" s="5">
        <v>10000</v>
      </c>
      <c r="L65" s="5">
        <v>1</v>
      </c>
      <c r="M65" s="48" t="s">
        <v>292</v>
      </c>
      <c r="Z65" s="5">
        <f t="shared" si="5"/>
        <v>1</v>
      </c>
      <c r="AA65" s="5">
        <f t="shared" si="6"/>
        <v>0</v>
      </c>
      <c r="AB65" s="5">
        <f t="shared" si="7"/>
        <v>0</v>
      </c>
      <c r="AC65" s="5">
        <f t="shared" si="8"/>
        <v>0</v>
      </c>
      <c r="AD65" s="5">
        <f t="shared" si="9"/>
        <v>0</v>
      </c>
      <c r="AE65" s="5">
        <f t="shared" si="10"/>
        <v>10000</v>
      </c>
      <c r="AF65" s="5">
        <f t="shared" si="11"/>
        <v>0</v>
      </c>
      <c r="AG65" s="5">
        <f t="shared" si="12"/>
        <v>0</v>
      </c>
      <c r="AH65" s="5">
        <f t="shared" si="13"/>
        <v>0</v>
      </c>
      <c r="AI65" s="5">
        <f t="shared" si="14"/>
        <v>0</v>
      </c>
      <c r="AJ65" s="5">
        <f t="shared" si="15"/>
        <v>0</v>
      </c>
      <c r="AK65" s="5">
        <f t="shared" si="16"/>
        <v>0</v>
      </c>
      <c r="AL65" s="5">
        <f t="shared" si="3"/>
        <v>0</v>
      </c>
      <c r="AN65" s="5">
        <f t="shared" si="51"/>
        <v>1</v>
      </c>
    </row>
    <row r="66" spans="3:40" s="5" customFormat="1" x14ac:dyDescent="0.55000000000000004">
      <c r="C66" s="5">
        <v>1</v>
      </c>
      <c r="G66" s="5">
        <v>1</v>
      </c>
      <c r="H66" s="50">
        <v>12</v>
      </c>
      <c r="I66" s="5" t="s">
        <v>17</v>
      </c>
      <c r="K66" s="5">
        <f>$K$6*$I$4*H66</f>
        <v>23040</v>
      </c>
      <c r="L66" s="5">
        <v>1</v>
      </c>
      <c r="M66" s="48"/>
      <c r="Z66" s="5">
        <f t="shared" si="5"/>
        <v>1</v>
      </c>
      <c r="AA66" s="5">
        <f t="shared" si="6"/>
        <v>0</v>
      </c>
      <c r="AB66" s="5">
        <f t="shared" si="7"/>
        <v>0</v>
      </c>
      <c r="AC66" s="5">
        <f t="shared" si="8"/>
        <v>0</v>
      </c>
      <c r="AD66" s="5">
        <f t="shared" si="9"/>
        <v>0</v>
      </c>
      <c r="AE66" s="5">
        <f t="shared" si="10"/>
        <v>0</v>
      </c>
      <c r="AF66" s="5">
        <f t="shared" si="11"/>
        <v>23040</v>
      </c>
      <c r="AG66" s="5">
        <f t="shared" si="12"/>
        <v>0</v>
      </c>
      <c r="AH66" s="5">
        <f t="shared" si="13"/>
        <v>0</v>
      </c>
      <c r="AI66" s="5">
        <f t="shared" si="14"/>
        <v>0</v>
      </c>
      <c r="AJ66" s="5">
        <f t="shared" si="15"/>
        <v>0</v>
      </c>
      <c r="AK66" s="5">
        <f t="shared" si="16"/>
        <v>0</v>
      </c>
      <c r="AL66" s="5">
        <f t="shared" si="3"/>
        <v>0</v>
      </c>
      <c r="AN66" s="5">
        <f t="shared" si="51"/>
        <v>1</v>
      </c>
    </row>
    <row r="67" spans="3:40" s="5" customFormat="1" x14ac:dyDescent="0.55000000000000004">
      <c r="H67" s="50"/>
      <c r="M67" s="48"/>
      <c r="Z67" s="5">
        <f t="shared" si="5"/>
        <v>0</v>
      </c>
      <c r="AA67" s="5">
        <f t="shared" si="6"/>
        <v>0</v>
      </c>
      <c r="AB67" s="5">
        <f t="shared" si="7"/>
        <v>0</v>
      </c>
      <c r="AC67" s="5">
        <f t="shared" si="8"/>
        <v>0</v>
      </c>
      <c r="AD67" s="5">
        <f t="shared" si="9"/>
        <v>0</v>
      </c>
      <c r="AE67" s="5">
        <f t="shared" si="10"/>
        <v>0</v>
      </c>
      <c r="AF67" s="5">
        <f t="shared" si="11"/>
        <v>0</v>
      </c>
      <c r="AG67" s="5">
        <f t="shared" si="12"/>
        <v>0</v>
      </c>
      <c r="AH67" s="5">
        <f t="shared" si="13"/>
        <v>0</v>
      </c>
      <c r="AI67" s="5">
        <f t="shared" si="14"/>
        <v>0</v>
      </c>
      <c r="AJ67" s="5">
        <f t="shared" si="15"/>
        <v>0</v>
      </c>
      <c r="AK67" s="5">
        <f t="shared" si="16"/>
        <v>0</v>
      </c>
      <c r="AL67" s="5">
        <f t="shared" si="3"/>
        <v>0</v>
      </c>
      <c r="AN67" s="5">
        <f t="shared" si="51"/>
        <v>0</v>
      </c>
    </row>
    <row r="68" spans="3:40" s="5" customFormat="1" x14ac:dyDescent="0.55000000000000004">
      <c r="H68" s="47" t="s">
        <v>29</v>
      </c>
      <c r="M68" s="48"/>
      <c r="Z68" s="5">
        <f t="shared" si="5"/>
        <v>0</v>
      </c>
      <c r="AA68" s="5">
        <f t="shared" si="6"/>
        <v>0</v>
      </c>
      <c r="AB68" s="5">
        <f t="shared" si="7"/>
        <v>0</v>
      </c>
      <c r="AC68" s="5">
        <f t="shared" si="8"/>
        <v>0</v>
      </c>
      <c r="AD68" s="5">
        <f t="shared" si="9"/>
        <v>0</v>
      </c>
      <c r="AE68" s="5">
        <f t="shared" si="10"/>
        <v>0</v>
      </c>
      <c r="AF68" s="5">
        <f t="shared" si="11"/>
        <v>0</v>
      </c>
      <c r="AG68" s="5">
        <f t="shared" si="12"/>
        <v>0</v>
      </c>
      <c r="AH68" s="5">
        <f t="shared" si="13"/>
        <v>0</v>
      </c>
      <c r="AI68" s="5">
        <f t="shared" si="14"/>
        <v>0</v>
      </c>
      <c r="AJ68" s="5">
        <f t="shared" si="15"/>
        <v>0</v>
      </c>
      <c r="AK68" s="5">
        <f t="shared" si="16"/>
        <v>0</v>
      </c>
      <c r="AL68" s="5">
        <f t="shared" si="3"/>
        <v>0</v>
      </c>
      <c r="AN68" s="5">
        <f t="shared" si="51"/>
        <v>0</v>
      </c>
    </row>
    <row r="69" spans="3:40" s="5" customFormat="1" x14ac:dyDescent="0.55000000000000004">
      <c r="C69" s="5">
        <v>1</v>
      </c>
      <c r="G69" s="5">
        <v>1</v>
      </c>
      <c r="H69" s="49" t="s">
        <v>293</v>
      </c>
      <c r="I69" s="5" t="s">
        <v>49</v>
      </c>
      <c r="J69" s="5">
        <f>3*30000</f>
        <v>90000</v>
      </c>
      <c r="L69" s="5">
        <v>2</v>
      </c>
      <c r="M69" s="48" t="s">
        <v>51</v>
      </c>
      <c r="Z69" s="5">
        <f t="shared" si="5"/>
        <v>1</v>
      </c>
      <c r="AA69" s="5">
        <f t="shared" si="6"/>
        <v>0</v>
      </c>
      <c r="AB69" s="5">
        <f t="shared" si="7"/>
        <v>0</v>
      </c>
      <c r="AC69" s="5">
        <f t="shared" si="8"/>
        <v>0</v>
      </c>
      <c r="AD69" s="5">
        <f t="shared" si="9"/>
        <v>0</v>
      </c>
      <c r="AE69" s="5">
        <f t="shared" si="10"/>
        <v>90000</v>
      </c>
      <c r="AF69" s="5">
        <f t="shared" si="11"/>
        <v>0</v>
      </c>
      <c r="AG69" s="5">
        <f t="shared" si="12"/>
        <v>0</v>
      </c>
      <c r="AH69" s="5">
        <f t="shared" si="13"/>
        <v>0</v>
      </c>
      <c r="AI69" s="5">
        <f t="shared" si="14"/>
        <v>0</v>
      </c>
      <c r="AJ69" s="5">
        <f t="shared" si="15"/>
        <v>0</v>
      </c>
      <c r="AK69" s="5">
        <f t="shared" si="16"/>
        <v>0</v>
      </c>
      <c r="AL69" s="5">
        <f t="shared" si="3"/>
        <v>0</v>
      </c>
      <c r="AN69" s="5">
        <f t="shared" si="51"/>
        <v>2</v>
      </c>
    </row>
    <row r="70" spans="3:40" s="5" customFormat="1" x14ac:dyDescent="0.55000000000000004">
      <c r="C70" s="5">
        <v>1</v>
      </c>
      <c r="G70" s="5">
        <v>1</v>
      </c>
      <c r="H70" s="49"/>
      <c r="I70" s="5" t="s">
        <v>25</v>
      </c>
      <c r="J70" s="5">
        <v>35000</v>
      </c>
      <c r="L70" s="5">
        <v>9</v>
      </c>
      <c r="M70" s="48" t="s">
        <v>106</v>
      </c>
      <c r="Z70" s="5">
        <f t="shared" si="5"/>
        <v>1</v>
      </c>
      <c r="AA70" s="5">
        <f t="shared" si="6"/>
        <v>0</v>
      </c>
      <c r="AB70" s="5">
        <f t="shared" si="7"/>
        <v>0</v>
      </c>
      <c r="AC70" s="5">
        <f t="shared" si="8"/>
        <v>0</v>
      </c>
      <c r="AD70" s="5">
        <f t="shared" si="9"/>
        <v>0</v>
      </c>
      <c r="AE70" s="5">
        <f t="shared" si="10"/>
        <v>35000</v>
      </c>
      <c r="AF70" s="5">
        <f t="shared" si="11"/>
        <v>0</v>
      </c>
      <c r="AG70" s="5">
        <f t="shared" si="12"/>
        <v>0</v>
      </c>
      <c r="AH70" s="5">
        <f t="shared" si="13"/>
        <v>0</v>
      </c>
      <c r="AI70" s="5">
        <f t="shared" si="14"/>
        <v>0</v>
      </c>
      <c r="AJ70" s="5">
        <f t="shared" si="15"/>
        <v>0</v>
      </c>
      <c r="AK70" s="5">
        <f t="shared" si="16"/>
        <v>0</v>
      </c>
      <c r="AL70" s="5">
        <f t="shared" si="3"/>
        <v>0</v>
      </c>
      <c r="AN70" s="5">
        <f t="shared" si="51"/>
        <v>9</v>
      </c>
    </row>
    <row r="71" spans="3:40" s="5" customFormat="1" x14ac:dyDescent="0.55000000000000004">
      <c r="C71" s="5">
        <v>1</v>
      </c>
      <c r="G71" s="5">
        <v>1</v>
      </c>
      <c r="H71" s="49" t="s">
        <v>294</v>
      </c>
      <c r="I71" s="5" t="s">
        <v>77</v>
      </c>
      <c r="J71" s="5">
        <v>168000</v>
      </c>
      <c r="L71" s="5">
        <v>1</v>
      </c>
      <c r="M71" s="48"/>
      <c r="Z71" s="5">
        <f t="shared" si="5"/>
        <v>1</v>
      </c>
      <c r="AA71" s="5">
        <f t="shared" si="6"/>
        <v>0</v>
      </c>
      <c r="AB71" s="5">
        <f t="shared" si="7"/>
        <v>0</v>
      </c>
      <c r="AC71" s="5">
        <f t="shared" si="8"/>
        <v>0</v>
      </c>
      <c r="AD71" s="5">
        <f t="shared" si="9"/>
        <v>0</v>
      </c>
      <c r="AE71" s="5">
        <f t="shared" si="10"/>
        <v>168000</v>
      </c>
      <c r="AF71" s="5">
        <f t="shared" si="11"/>
        <v>0</v>
      </c>
      <c r="AG71" s="5">
        <f t="shared" si="12"/>
        <v>0</v>
      </c>
      <c r="AH71" s="5">
        <f t="shared" si="13"/>
        <v>0</v>
      </c>
      <c r="AI71" s="5">
        <f t="shared" si="14"/>
        <v>0</v>
      </c>
      <c r="AJ71" s="5">
        <f t="shared" si="15"/>
        <v>0</v>
      </c>
      <c r="AK71" s="5">
        <f t="shared" si="16"/>
        <v>0</v>
      </c>
      <c r="AL71" s="5">
        <f t="shared" si="3"/>
        <v>0</v>
      </c>
      <c r="AN71" s="5">
        <f t="shared" si="51"/>
        <v>1</v>
      </c>
    </row>
    <row r="72" spans="3:40" s="5" customFormat="1" ht="14.7" thickBot="1" x14ac:dyDescent="0.6">
      <c r="C72" s="5">
        <v>1</v>
      </c>
      <c r="G72" s="5">
        <v>1</v>
      </c>
      <c r="H72" s="57">
        <v>12</v>
      </c>
      <c r="I72" s="53" t="s">
        <v>17</v>
      </c>
      <c r="J72" s="53"/>
      <c r="K72" s="53">
        <f>$K$6*$I$4*H72</f>
        <v>23040</v>
      </c>
      <c r="L72" s="53">
        <v>2</v>
      </c>
      <c r="M72" s="54"/>
      <c r="Z72" s="5">
        <f t="shared" si="5"/>
        <v>1</v>
      </c>
      <c r="AA72" s="5">
        <f t="shared" si="6"/>
        <v>0</v>
      </c>
      <c r="AB72" s="5">
        <f t="shared" si="7"/>
        <v>0</v>
      </c>
      <c r="AC72" s="5">
        <f t="shared" si="8"/>
        <v>0</v>
      </c>
      <c r="AD72" s="5">
        <f t="shared" si="9"/>
        <v>0</v>
      </c>
      <c r="AE72" s="5">
        <f t="shared" si="10"/>
        <v>0</v>
      </c>
      <c r="AF72" s="5">
        <f t="shared" si="11"/>
        <v>23040</v>
      </c>
      <c r="AG72" s="5">
        <f t="shared" si="12"/>
        <v>0</v>
      </c>
      <c r="AH72" s="5">
        <f t="shared" si="13"/>
        <v>0</v>
      </c>
      <c r="AI72" s="5">
        <f t="shared" si="14"/>
        <v>0</v>
      </c>
      <c r="AJ72" s="5">
        <f t="shared" si="15"/>
        <v>0</v>
      </c>
      <c r="AK72" s="5">
        <f t="shared" si="16"/>
        <v>0</v>
      </c>
      <c r="AL72" s="5">
        <f t="shared" si="3"/>
        <v>0</v>
      </c>
      <c r="AN72" s="5">
        <f t="shared" si="51"/>
        <v>2</v>
      </c>
    </row>
    <row r="73" spans="3:40" s="5" customFormat="1" x14ac:dyDescent="0.55000000000000004">
      <c r="Z73" s="5">
        <f t="shared" si="5"/>
        <v>0</v>
      </c>
      <c r="AA73" s="5">
        <f t="shared" si="6"/>
        <v>0</v>
      </c>
      <c r="AB73" s="5">
        <f t="shared" si="7"/>
        <v>0</v>
      </c>
      <c r="AC73" s="5">
        <f t="shared" si="8"/>
        <v>0</v>
      </c>
      <c r="AD73" s="5">
        <f t="shared" si="9"/>
        <v>0</v>
      </c>
      <c r="AE73" s="5">
        <f t="shared" si="10"/>
        <v>0</v>
      </c>
      <c r="AF73" s="5">
        <f t="shared" si="11"/>
        <v>0</v>
      </c>
      <c r="AG73" s="5">
        <f t="shared" si="12"/>
        <v>0</v>
      </c>
      <c r="AH73" s="5">
        <f t="shared" si="13"/>
        <v>0</v>
      </c>
      <c r="AI73" s="5">
        <f t="shared" si="14"/>
        <v>0</v>
      </c>
      <c r="AJ73" s="5">
        <f t="shared" si="15"/>
        <v>0</v>
      </c>
      <c r="AK73" s="5">
        <f t="shared" si="16"/>
        <v>0</v>
      </c>
      <c r="AL73" s="5">
        <f t="shared" si="3"/>
        <v>0</v>
      </c>
      <c r="AN73" s="5">
        <f t="shared" si="51"/>
        <v>0</v>
      </c>
    </row>
    <row r="74" spans="3:40" s="5" customFormat="1" ht="14.7" thickBot="1" x14ac:dyDescent="0.6">
      <c r="Z74" s="5">
        <f t="shared" si="5"/>
        <v>0</v>
      </c>
      <c r="AA74" s="5">
        <f t="shared" si="6"/>
        <v>0</v>
      </c>
      <c r="AB74" s="5">
        <f t="shared" si="7"/>
        <v>0</v>
      </c>
      <c r="AC74" s="5">
        <f t="shared" si="8"/>
        <v>0</v>
      </c>
      <c r="AD74" s="5">
        <f t="shared" si="9"/>
        <v>0</v>
      </c>
      <c r="AE74" s="5">
        <f t="shared" si="10"/>
        <v>0</v>
      </c>
      <c r="AF74" s="5">
        <f t="shared" si="11"/>
        <v>0</v>
      </c>
      <c r="AG74" s="5">
        <f t="shared" si="12"/>
        <v>0</v>
      </c>
      <c r="AH74" s="5">
        <f t="shared" si="13"/>
        <v>0</v>
      </c>
      <c r="AI74" s="5">
        <f t="shared" si="14"/>
        <v>0</v>
      </c>
      <c r="AJ74" s="5">
        <f t="shared" si="15"/>
        <v>0</v>
      </c>
      <c r="AK74" s="5">
        <f t="shared" si="16"/>
        <v>0</v>
      </c>
      <c r="AL74" s="5">
        <f t="shared" si="3"/>
        <v>0</v>
      </c>
      <c r="AN74" s="5">
        <f t="shared" si="51"/>
        <v>0</v>
      </c>
    </row>
    <row r="75" spans="3:40" s="5" customFormat="1" x14ac:dyDescent="0.55000000000000004">
      <c r="H75" s="58" t="s">
        <v>289</v>
      </c>
      <c r="I75" s="45"/>
      <c r="J75" s="45"/>
      <c r="K75" s="45"/>
      <c r="L75" s="45"/>
      <c r="M75" s="55" t="s">
        <v>109</v>
      </c>
      <c r="Z75" s="5">
        <f t="shared" si="5"/>
        <v>0</v>
      </c>
      <c r="AA75" s="5">
        <f t="shared" si="6"/>
        <v>0</v>
      </c>
      <c r="AB75" s="5">
        <f t="shared" si="7"/>
        <v>0</v>
      </c>
      <c r="AC75" s="5">
        <f t="shared" si="8"/>
        <v>0</v>
      </c>
      <c r="AD75" s="5">
        <f t="shared" si="9"/>
        <v>0</v>
      </c>
      <c r="AE75" s="5">
        <f t="shared" si="10"/>
        <v>0</v>
      </c>
      <c r="AF75" s="5">
        <f t="shared" si="11"/>
        <v>0</v>
      </c>
      <c r="AG75" s="5">
        <f t="shared" si="12"/>
        <v>0</v>
      </c>
      <c r="AH75" s="5">
        <f t="shared" si="13"/>
        <v>0</v>
      </c>
      <c r="AI75" s="5">
        <f t="shared" si="14"/>
        <v>0</v>
      </c>
      <c r="AJ75" s="5">
        <f t="shared" si="15"/>
        <v>0</v>
      </c>
      <c r="AK75" s="5">
        <f t="shared" si="16"/>
        <v>0</v>
      </c>
      <c r="AL75" s="5">
        <f t="shared" si="3"/>
        <v>0</v>
      </c>
      <c r="AN75" s="5">
        <f t="shared" si="51"/>
        <v>0</v>
      </c>
    </row>
    <row r="76" spans="3:40" s="5" customFormat="1" x14ac:dyDescent="0.55000000000000004">
      <c r="C76" s="5">
        <v>0.25</v>
      </c>
      <c r="D76" s="5">
        <v>0.5</v>
      </c>
      <c r="E76" s="5">
        <v>0.25</v>
      </c>
      <c r="G76" s="5">
        <v>1</v>
      </c>
      <c r="H76" s="49" t="s">
        <v>181</v>
      </c>
      <c r="I76" s="5" t="s">
        <v>49</v>
      </c>
      <c r="J76" s="5">
        <f>110*10000+20*30000</f>
        <v>1700000</v>
      </c>
      <c r="L76" s="5">
        <v>2</v>
      </c>
      <c r="M76" s="48" t="s">
        <v>236</v>
      </c>
      <c r="P76" s="36"/>
      <c r="R76" s="32"/>
      <c r="Z76" s="5">
        <f t="shared" si="5"/>
        <v>1</v>
      </c>
      <c r="AA76" s="5">
        <f t="shared" si="6"/>
        <v>0</v>
      </c>
      <c r="AB76" s="5">
        <f t="shared" si="7"/>
        <v>0</v>
      </c>
      <c r="AC76" s="5">
        <f t="shared" si="8"/>
        <v>0</v>
      </c>
      <c r="AD76" s="5">
        <f t="shared" si="9"/>
        <v>0</v>
      </c>
      <c r="AE76" s="5">
        <f t="shared" si="10"/>
        <v>425000</v>
      </c>
      <c r="AF76" s="5">
        <f t="shared" si="11"/>
        <v>0</v>
      </c>
      <c r="AG76" s="5">
        <f t="shared" si="12"/>
        <v>850000</v>
      </c>
      <c r="AH76" s="5">
        <f t="shared" si="13"/>
        <v>0</v>
      </c>
      <c r="AI76" s="5">
        <f t="shared" si="14"/>
        <v>425000</v>
      </c>
      <c r="AJ76" s="5">
        <f t="shared" si="15"/>
        <v>0</v>
      </c>
      <c r="AK76" s="5">
        <f t="shared" si="16"/>
        <v>0</v>
      </c>
      <c r="AL76" s="5">
        <f t="shared" si="3"/>
        <v>0</v>
      </c>
      <c r="AN76" s="5">
        <f t="shared" si="51"/>
        <v>2</v>
      </c>
    </row>
    <row r="77" spans="3:40" s="5" customFormat="1" x14ac:dyDescent="0.55000000000000004">
      <c r="H77" s="50"/>
      <c r="I77" s="5" t="s">
        <v>17</v>
      </c>
      <c r="K77" s="5">
        <v>0</v>
      </c>
      <c r="L77" s="5">
        <v>2</v>
      </c>
      <c r="M77" s="48"/>
      <c r="N77" s="5" t="s">
        <v>112</v>
      </c>
      <c r="O77" s="37">
        <v>1.3</v>
      </c>
      <c r="W77" s="5" t="s">
        <v>96</v>
      </c>
      <c r="X77" s="5" t="s">
        <v>211</v>
      </c>
      <c r="Z77" s="5">
        <f t="shared" si="5"/>
        <v>0</v>
      </c>
      <c r="AA77" s="5">
        <f t="shared" si="6"/>
        <v>0</v>
      </c>
      <c r="AB77" s="5">
        <f t="shared" si="7"/>
        <v>0</v>
      </c>
      <c r="AC77" s="5">
        <f t="shared" si="8"/>
        <v>0</v>
      </c>
      <c r="AD77" s="5">
        <f t="shared" si="9"/>
        <v>0</v>
      </c>
      <c r="AE77" s="5">
        <f t="shared" si="10"/>
        <v>0</v>
      </c>
      <c r="AF77" s="5">
        <f t="shared" si="11"/>
        <v>0</v>
      </c>
      <c r="AG77" s="5">
        <f t="shared" si="12"/>
        <v>0</v>
      </c>
      <c r="AH77" s="5">
        <f t="shared" si="13"/>
        <v>0</v>
      </c>
      <c r="AI77" s="5">
        <f t="shared" si="14"/>
        <v>0</v>
      </c>
      <c r="AJ77" s="5">
        <f t="shared" si="15"/>
        <v>0</v>
      </c>
      <c r="AK77" s="5">
        <f t="shared" si="16"/>
        <v>0</v>
      </c>
      <c r="AL77" s="5">
        <f t="shared" si="3"/>
        <v>0</v>
      </c>
      <c r="AN77" s="5">
        <f t="shared" si="51"/>
        <v>2</v>
      </c>
    </row>
    <row r="78" spans="3:40" s="5" customFormat="1" x14ac:dyDescent="0.55000000000000004">
      <c r="H78" s="50"/>
      <c r="M78" s="48" t="s">
        <v>110</v>
      </c>
      <c r="N78" s="5" t="s">
        <v>111</v>
      </c>
      <c r="O78" s="37">
        <v>0.7</v>
      </c>
      <c r="P78" s="32" t="s">
        <v>203</v>
      </c>
      <c r="Q78" s="38"/>
      <c r="R78" s="5" t="s">
        <v>204</v>
      </c>
      <c r="V78" s="5" t="s">
        <v>116</v>
      </c>
      <c r="W78" s="5" t="s">
        <v>69</v>
      </c>
      <c r="X78" s="5" t="s">
        <v>69</v>
      </c>
      <c r="Z78" s="5">
        <f t="shared" si="5"/>
        <v>0</v>
      </c>
      <c r="AA78" s="5">
        <f t="shared" si="6"/>
        <v>0</v>
      </c>
      <c r="AB78" s="5">
        <f t="shared" si="7"/>
        <v>0</v>
      </c>
      <c r="AC78" s="5">
        <f t="shared" si="8"/>
        <v>0</v>
      </c>
      <c r="AD78" s="5">
        <f t="shared" si="9"/>
        <v>0</v>
      </c>
      <c r="AE78" s="5">
        <f t="shared" si="10"/>
        <v>0</v>
      </c>
      <c r="AF78" s="5">
        <f t="shared" si="11"/>
        <v>0</v>
      </c>
      <c r="AG78" s="5">
        <f t="shared" si="12"/>
        <v>0</v>
      </c>
      <c r="AH78" s="5">
        <f t="shared" si="13"/>
        <v>0</v>
      </c>
      <c r="AI78" s="5">
        <f t="shared" si="14"/>
        <v>0</v>
      </c>
      <c r="AJ78" s="5">
        <f t="shared" si="15"/>
        <v>0</v>
      </c>
      <c r="AK78" s="5">
        <f t="shared" si="16"/>
        <v>0</v>
      </c>
      <c r="AL78" s="5">
        <f t="shared" si="3"/>
        <v>0</v>
      </c>
      <c r="AN78" s="5">
        <f t="shared" si="51"/>
        <v>0</v>
      </c>
    </row>
    <row r="79" spans="3:40" s="5" customFormat="1" x14ac:dyDescent="0.55000000000000004">
      <c r="C79" s="5">
        <v>0.2</v>
      </c>
      <c r="D79" s="5">
        <v>0.6</v>
      </c>
      <c r="E79" s="5">
        <v>0.2</v>
      </c>
      <c r="G79" s="5">
        <v>1</v>
      </c>
      <c r="H79" s="49" t="s">
        <v>76</v>
      </c>
      <c r="I79" s="5" t="s">
        <v>47</v>
      </c>
      <c r="J79" s="5">
        <f>240*V79+Y79</f>
        <v>1525824</v>
      </c>
      <c r="L79" s="5">
        <v>1</v>
      </c>
      <c r="M79" s="48" t="s">
        <v>235</v>
      </c>
      <c r="N79" s="5" t="s">
        <v>113</v>
      </c>
      <c r="O79" s="39">
        <f>O77*O78*0.5</f>
        <v>0.45499999999999996</v>
      </c>
      <c r="P79" s="5">
        <f>(O78*2+1)*0.5</f>
        <v>1.2</v>
      </c>
      <c r="Q79" s="5" t="s">
        <v>114</v>
      </c>
      <c r="R79" s="5">
        <f>P79+2*O79</f>
        <v>2.11</v>
      </c>
      <c r="S79" s="5" t="s">
        <v>69</v>
      </c>
      <c r="T79" s="5">
        <f>R79*K8</f>
        <v>5.2749999999999995</v>
      </c>
      <c r="U79" s="5" t="s">
        <v>115</v>
      </c>
      <c r="V79" s="5">
        <f>R79*I8</f>
        <v>3798</v>
      </c>
      <c r="W79" s="5">
        <f>O77*0.5*0.1*2+1*0.5*0.1</f>
        <v>0.18</v>
      </c>
      <c r="X79" s="5">
        <f>W79*240</f>
        <v>43.199999999999996</v>
      </c>
      <c r="Y79" s="5">
        <f>X79*K7*I7</f>
        <v>614304</v>
      </c>
      <c r="Z79" s="5">
        <f t="shared" si="5"/>
        <v>1</v>
      </c>
      <c r="AA79" s="5">
        <f t="shared" si="6"/>
        <v>0</v>
      </c>
      <c r="AB79" s="5">
        <f t="shared" si="7"/>
        <v>0</v>
      </c>
      <c r="AC79" s="5">
        <f t="shared" si="8"/>
        <v>0</v>
      </c>
      <c r="AD79" s="5">
        <f t="shared" si="9"/>
        <v>0</v>
      </c>
      <c r="AE79" s="5">
        <f t="shared" si="10"/>
        <v>305164.79999999999</v>
      </c>
      <c r="AF79" s="5">
        <f t="shared" si="11"/>
        <v>0</v>
      </c>
      <c r="AG79" s="5">
        <f t="shared" si="12"/>
        <v>915494.40000000002</v>
      </c>
      <c r="AH79" s="5">
        <f t="shared" si="13"/>
        <v>0</v>
      </c>
      <c r="AI79" s="5">
        <f t="shared" si="14"/>
        <v>305164.79999999999</v>
      </c>
      <c r="AJ79" s="5">
        <f t="shared" si="15"/>
        <v>0</v>
      </c>
      <c r="AK79" s="5">
        <f t="shared" si="16"/>
        <v>0</v>
      </c>
      <c r="AL79" s="5">
        <f t="shared" si="3"/>
        <v>0</v>
      </c>
      <c r="AN79" s="5">
        <f t="shared" si="51"/>
        <v>1</v>
      </c>
    </row>
    <row r="80" spans="3:40" s="5" customFormat="1" x14ac:dyDescent="0.55000000000000004">
      <c r="C80" s="5">
        <v>0.2</v>
      </c>
      <c r="D80" s="5">
        <v>0.6</v>
      </c>
      <c r="E80" s="5">
        <v>0.2</v>
      </c>
      <c r="G80" s="5">
        <v>1</v>
      </c>
      <c r="H80" s="50">
        <f>K80/40/48</f>
        <v>54</v>
      </c>
      <c r="I80" s="5" t="s">
        <v>17</v>
      </c>
      <c r="K80" s="5">
        <f>N80*$I$4</f>
        <v>103680</v>
      </c>
      <c r="L80" s="5">
        <v>1</v>
      </c>
      <c r="M80" s="48" t="s">
        <v>195</v>
      </c>
      <c r="N80" s="5">
        <f>720*3</f>
        <v>2160</v>
      </c>
      <c r="O80" s="5" t="s">
        <v>58</v>
      </c>
      <c r="P80" s="5">
        <f>N80*I4</f>
        <v>103680</v>
      </c>
      <c r="Z80" s="5">
        <f t="shared" si="5"/>
        <v>1</v>
      </c>
      <c r="AA80" s="5">
        <f t="shared" si="6"/>
        <v>0</v>
      </c>
      <c r="AB80" s="5">
        <f t="shared" si="7"/>
        <v>0</v>
      </c>
      <c r="AC80" s="5">
        <f t="shared" si="8"/>
        <v>0</v>
      </c>
      <c r="AD80" s="5">
        <f t="shared" si="9"/>
        <v>0</v>
      </c>
      <c r="AE80" s="5">
        <f t="shared" si="10"/>
        <v>0</v>
      </c>
      <c r="AF80" s="5">
        <f t="shared" si="11"/>
        <v>20736</v>
      </c>
      <c r="AG80" s="5">
        <f t="shared" si="12"/>
        <v>0</v>
      </c>
      <c r="AH80" s="5">
        <f t="shared" si="13"/>
        <v>62208</v>
      </c>
      <c r="AI80" s="5">
        <f t="shared" si="14"/>
        <v>0</v>
      </c>
      <c r="AJ80" s="5">
        <f t="shared" si="15"/>
        <v>20736</v>
      </c>
      <c r="AK80" s="5">
        <f t="shared" si="16"/>
        <v>0</v>
      </c>
      <c r="AL80" s="5">
        <f t="shared" si="3"/>
        <v>0</v>
      </c>
      <c r="AN80" s="5">
        <f t="shared" si="51"/>
        <v>1</v>
      </c>
    </row>
    <row r="81" spans="3:40" s="5" customFormat="1" x14ac:dyDescent="0.55000000000000004">
      <c r="H81" s="50"/>
      <c r="M81" s="48"/>
      <c r="Z81" s="5">
        <f t="shared" si="5"/>
        <v>0</v>
      </c>
      <c r="AA81" s="5">
        <f t="shared" si="6"/>
        <v>0</v>
      </c>
      <c r="AB81" s="5">
        <f t="shared" si="7"/>
        <v>0</v>
      </c>
      <c r="AC81" s="5">
        <f t="shared" si="8"/>
        <v>0</v>
      </c>
      <c r="AD81" s="5">
        <f t="shared" si="9"/>
        <v>0</v>
      </c>
      <c r="AE81" s="5">
        <f t="shared" si="10"/>
        <v>0</v>
      </c>
      <c r="AF81" s="5">
        <f t="shared" si="11"/>
        <v>0</v>
      </c>
      <c r="AG81" s="5">
        <f t="shared" si="12"/>
        <v>0</v>
      </c>
      <c r="AH81" s="5">
        <f t="shared" si="13"/>
        <v>0</v>
      </c>
      <c r="AI81" s="5">
        <f t="shared" si="14"/>
        <v>0</v>
      </c>
      <c r="AJ81" s="5">
        <f t="shared" si="15"/>
        <v>0</v>
      </c>
      <c r="AK81" s="5">
        <f t="shared" si="16"/>
        <v>0</v>
      </c>
      <c r="AL81" s="5">
        <f t="shared" si="3"/>
        <v>0</v>
      </c>
      <c r="AN81" s="5">
        <f t="shared" si="51"/>
        <v>0</v>
      </c>
    </row>
    <row r="82" spans="3:40" s="5" customFormat="1" x14ac:dyDescent="0.55000000000000004">
      <c r="C82" s="5">
        <v>0.2</v>
      </c>
      <c r="D82" s="5">
        <v>0.6</v>
      </c>
      <c r="E82" s="5">
        <v>0.2</v>
      </c>
      <c r="G82" s="5">
        <v>1</v>
      </c>
      <c r="H82" s="49" t="s">
        <v>212</v>
      </c>
      <c r="I82" s="15" t="s">
        <v>213</v>
      </c>
      <c r="J82" s="5">
        <f>100*I7</f>
        <v>180000</v>
      </c>
      <c r="L82" s="15">
        <v>1</v>
      </c>
      <c r="M82" s="48" t="s">
        <v>232</v>
      </c>
      <c r="Z82" s="5">
        <f t="shared" si="5"/>
        <v>1</v>
      </c>
      <c r="AA82" s="5">
        <f t="shared" si="6"/>
        <v>0</v>
      </c>
      <c r="AB82" s="5">
        <f t="shared" si="7"/>
        <v>0</v>
      </c>
      <c r="AC82" s="5">
        <f t="shared" si="8"/>
        <v>0</v>
      </c>
      <c r="AD82" s="5">
        <f t="shared" si="9"/>
        <v>0</v>
      </c>
      <c r="AE82" s="5">
        <f t="shared" si="10"/>
        <v>36000</v>
      </c>
      <c r="AF82" s="5">
        <f t="shared" si="11"/>
        <v>0</v>
      </c>
      <c r="AG82" s="5">
        <f t="shared" si="12"/>
        <v>108000</v>
      </c>
      <c r="AH82" s="5">
        <f t="shared" si="13"/>
        <v>0</v>
      </c>
      <c r="AI82" s="5">
        <f t="shared" si="14"/>
        <v>36000</v>
      </c>
      <c r="AJ82" s="5">
        <f t="shared" si="15"/>
        <v>0</v>
      </c>
      <c r="AK82" s="5">
        <f t="shared" si="16"/>
        <v>0</v>
      </c>
      <c r="AL82" s="5">
        <f t="shared" si="3"/>
        <v>0</v>
      </c>
      <c r="AN82" s="5">
        <f t="shared" si="51"/>
        <v>1</v>
      </c>
    </row>
    <row r="83" spans="3:40" s="5" customFormat="1" x14ac:dyDescent="0.55000000000000004">
      <c r="C83" s="15">
        <v>0.2</v>
      </c>
      <c r="D83" s="15">
        <v>0.6</v>
      </c>
      <c r="E83" s="15">
        <v>0.2</v>
      </c>
      <c r="G83" s="15">
        <v>1</v>
      </c>
      <c r="H83" s="50">
        <v>18</v>
      </c>
      <c r="I83" s="15" t="s">
        <v>17</v>
      </c>
      <c r="K83" s="5">
        <f>$K$6*$I$4*H83</f>
        <v>34560</v>
      </c>
      <c r="L83" s="15">
        <v>1</v>
      </c>
      <c r="M83" s="48"/>
      <c r="Z83" s="5">
        <f t="shared" si="5"/>
        <v>1</v>
      </c>
      <c r="AA83" s="5">
        <f t="shared" si="6"/>
        <v>0</v>
      </c>
      <c r="AB83" s="5">
        <f t="shared" si="7"/>
        <v>0</v>
      </c>
      <c r="AC83" s="5">
        <f t="shared" si="8"/>
        <v>0</v>
      </c>
      <c r="AD83" s="5">
        <f t="shared" si="9"/>
        <v>0</v>
      </c>
      <c r="AE83" s="5">
        <f t="shared" si="10"/>
        <v>0</v>
      </c>
      <c r="AF83" s="5">
        <f t="shared" si="11"/>
        <v>6912</v>
      </c>
      <c r="AG83" s="5">
        <f t="shared" si="12"/>
        <v>0</v>
      </c>
      <c r="AH83" s="5">
        <f t="shared" si="13"/>
        <v>20736</v>
      </c>
      <c r="AI83" s="5">
        <f t="shared" si="14"/>
        <v>0</v>
      </c>
      <c r="AJ83" s="5">
        <f t="shared" si="15"/>
        <v>6912</v>
      </c>
      <c r="AK83" s="5">
        <f t="shared" si="16"/>
        <v>0</v>
      </c>
      <c r="AL83" s="5">
        <f t="shared" si="3"/>
        <v>0</v>
      </c>
      <c r="AN83" s="5">
        <f t="shared" si="51"/>
        <v>1</v>
      </c>
    </row>
    <row r="84" spans="3:40" s="5" customFormat="1" x14ac:dyDescent="0.55000000000000004">
      <c r="C84" s="15"/>
      <c r="D84" s="15"/>
      <c r="E84" s="15"/>
      <c r="G84" s="15"/>
      <c r="H84" s="50"/>
      <c r="I84" s="15"/>
      <c r="L84" s="15"/>
      <c r="M84" s="48"/>
      <c r="Z84" s="5">
        <f t="shared" ref="Z84" si="52">G84</f>
        <v>0</v>
      </c>
      <c r="AA84" s="5">
        <f t="shared" ref="AA84" si="53">A84*J84</f>
        <v>0</v>
      </c>
      <c r="AB84" s="5">
        <f t="shared" ref="AB84" si="54">A84*K84</f>
        <v>0</v>
      </c>
      <c r="AC84" s="5">
        <f t="shared" ref="AC84" si="55">B84*J84</f>
        <v>0</v>
      </c>
      <c r="AD84" s="5">
        <f t="shared" ref="AD84" si="56">B84*K84</f>
        <v>0</v>
      </c>
      <c r="AE84" s="5">
        <f t="shared" ref="AE84" si="57">C84*J84</f>
        <v>0</v>
      </c>
      <c r="AF84" s="5">
        <f t="shared" ref="AF84" si="58">C84*K84</f>
        <v>0</v>
      </c>
      <c r="AG84" s="5">
        <f t="shared" ref="AG84" si="59">D84*J84</f>
        <v>0</v>
      </c>
      <c r="AH84" s="5">
        <f t="shared" ref="AH84" si="60">D84*K84</f>
        <v>0</v>
      </c>
      <c r="AI84" s="5">
        <f t="shared" ref="AI84" si="61">E84*J84</f>
        <v>0</v>
      </c>
      <c r="AJ84" s="5">
        <f t="shared" ref="AJ84" si="62">E84*K84</f>
        <v>0</v>
      </c>
      <c r="AK84" s="5">
        <f t="shared" ref="AK84" si="63">F84*J84</f>
        <v>0</v>
      </c>
      <c r="AL84" s="5">
        <f t="shared" ref="AL84" si="64">F84*K84</f>
        <v>0</v>
      </c>
      <c r="AN84" s="5">
        <f t="shared" ref="AN84" si="65">L84</f>
        <v>0</v>
      </c>
    </row>
    <row r="85" spans="3:40" s="5" customFormat="1" x14ac:dyDescent="0.55000000000000004">
      <c r="H85" s="50"/>
      <c r="I85" s="75" t="s">
        <v>233</v>
      </c>
      <c r="M85" s="48"/>
      <c r="Z85" s="5">
        <f t="shared" si="5"/>
        <v>0</v>
      </c>
      <c r="AA85" s="5">
        <f t="shared" si="6"/>
        <v>0</v>
      </c>
      <c r="AB85" s="5">
        <f t="shared" si="7"/>
        <v>0</v>
      </c>
      <c r="AC85" s="5">
        <f t="shared" si="8"/>
        <v>0</v>
      </c>
      <c r="AD85" s="5">
        <f t="shared" si="9"/>
        <v>0</v>
      </c>
      <c r="AE85" s="5">
        <f t="shared" si="10"/>
        <v>0</v>
      </c>
      <c r="AF85" s="5">
        <f t="shared" si="11"/>
        <v>0</v>
      </c>
      <c r="AG85" s="5">
        <f t="shared" si="12"/>
        <v>0</v>
      </c>
      <c r="AH85" s="5">
        <f t="shared" si="13"/>
        <v>0</v>
      </c>
      <c r="AI85" s="5">
        <f t="shared" si="14"/>
        <v>0</v>
      </c>
      <c r="AJ85" s="5">
        <f t="shared" si="15"/>
        <v>0</v>
      </c>
      <c r="AK85" s="5">
        <f t="shared" si="16"/>
        <v>0</v>
      </c>
      <c r="AL85" s="5">
        <f t="shared" ref="AL85:AL149" si="66">F85*K85</f>
        <v>0</v>
      </c>
      <c r="AN85" s="5">
        <f t="shared" si="51"/>
        <v>0</v>
      </c>
    </row>
    <row r="86" spans="3:40" s="5" customFormat="1" x14ac:dyDescent="0.55000000000000004">
      <c r="C86" s="5">
        <v>0</v>
      </c>
      <c r="D86" s="5">
        <v>1</v>
      </c>
      <c r="E86" s="5">
        <v>0</v>
      </c>
      <c r="G86" s="5">
        <v>1</v>
      </c>
      <c r="H86" s="49" t="s">
        <v>54</v>
      </c>
      <c r="I86" s="5" t="s">
        <v>15</v>
      </c>
      <c r="J86" s="5">
        <v>130000</v>
      </c>
      <c r="L86" s="5">
        <v>3</v>
      </c>
      <c r="M86" s="48" t="s">
        <v>56</v>
      </c>
      <c r="N86" s="5" t="s">
        <v>117</v>
      </c>
      <c r="O86" s="5" t="s">
        <v>69</v>
      </c>
      <c r="P86" s="5" t="s">
        <v>115</v>
      </c>
      <c r="Q86" s="5" t="s">
        <v>57</v>
      </c>
      <c r="R86" s="5" t="s">
        <v>96</v>
      </c>
      <c r="S86" s="5" t="s">
        <v>108</v>
      </c>
      <c r="Z86" s="5">
        <f t="shared" ref="Z86:Z150" si="67">G86</f>
        <v>1</v>
      </c>
      <c r="AA86" s="5">
        <f t="shared" ref="AA86:AA150" si="68">A86*J86</f>
        <v>0</v>
      </c>
      <c r="AB86" s="5">
        <f t="shared" ref="AB86:AB150" si="69">A86*K86</f>
        <v>0</v>
      </c>
      <c r="AC86" s="5">
        <f t="shared" ref="AC86:AC150" si="70">B86*J86</f>
        <v>0</v>
      </c>
      <c r="AD86" s="5">
        <f t="shared" ref="AD86:AD150" si="71">B86*K86</f>
        <v>0</v>
      </c>
      <c r="AE86" s="5">
        <f t="shared" ref="AE86:AE150" si="72">C86*J86</f>
        <v>0</v>
      </c>
      <c r="AF86" s="5">
        <f t="shared" ref="AF86:AF150" si="73">C86*K86</f>
        <v>0</v>
      </c>
      <c r="AG86" s="5">
        <f t="shared" ref="AG86:AG150" si="74">D86*J86</f>
        <v>130000</v>
      </c>
      <c r="AH86" s="5">
        <f t="shared" ref="AH86:AH150" si="75">D86*K86</f>
        <v>0</v>
      </c>
      <c r="AI86" s="5">
        <f t="shared" ref="AI86:AI150" si="76">E86*J86</f>
        <v>0</v>
      </c>
      <c r="AJ86" s="5">
        <f t="shared" ref="AJ86:AJ150" si="77">E86*K86</f>
        <v>0</v>
      </c>
      <c r="AK86" s="5">
        <f t="shared" ref="AK86:AK150" si="78">F86*J86</f>
        <v>0</v>
      </c>
      <c r="AL86" s="5">
        <f t="shared" si="66"/>
        <v>0</v>
      </c>
      <c r="AN86" s="5">
        <f t="shared" si="51"/>
        <v>3</v>
      </c>
    </row>
    <row r="87" spans="3:40" s="5" customFormat="1" x14ac:dyDescent="0.55000000000000004">
      <c r="C87" s="5">
        <v>0</v>
      </c>
      <c r="D87" s="5">
        <v>1</v>
      </c>
      <c r="E87" s="5">
        <v>0</v>
      </c>
      <c r="G87" s="5">
        <v>1</v>
      </c>
      <c r="H87" s="49"/>
      <c r="I87" s="5" t="s">
        <v>47</v>
      </c>
      <c r="J87" s="5">
        <f>Q87+R87+S87</f>
        <v>55490</v>
      </c>
      <c r="L87" s="5">
        <v>1</v>
      </c>
      <c r="M87" s="48" t="s">
        <v>226</v>
      </c>
      <c r="N87" s="5" t="s">
        <v>243</v>
      </c>
      <c r="O87" s="5">
        <f>2*3*1.2+3*3*1</f>
        <v>16.2</v>
      </c>
      <c r="P87" s="5">
        <f>O87*K8</f>
        <v>40.5</v>
      </c>
      <c r="Q87" s="5">
        <f>O87*I8</f>
        <v>29160</v>
      </c>
      <c r="R87" s="5">
        <f>1*1*5*0.3*K7*I7</f>
        <v>21330.000000000004</v>
      </c>
      <c r="S87" s="5">
        <f>5*I11</f>
        <v>5000</v>
      </c>
      <c r="Z87" s="5">
        <f t="shared" si="67"/>
        <v>1</v>
      </c>
      <c r="AA87" s="5">
        <f t="shared" si="68"/>
        <v>0</v>
      </c>
      <c r="AB87" s="5">
        <f t="shared" si="69"/>
        <v>0</v>
      </c>
      <c r="AC87" s="5">
        <f t="shared" si="70"/>
        <v>0</v>
      </c>
      <c r="AD87" s="5">
        <f t="shared" si="71"/>
        <v>0</v>
      </c>
      <c r="AE87" s="5">
        <f t="shared" si="72"/>
        <v>0</v>
      </c>
      <c r="AF87" s="5">
        <f t="shared" si="73"/>
        <v>0</v>
      </c>
      <c r="AG87" s="5">
        <f t="shared" si="74"/>
        <v>55490</v>
      </c>
      <c r="AH87" s="5">
        <f t="shared" si="75"/>
        <v>0</v>
      </c>
      <c r="AI87" s="5">
        <f t="shared" si="76"/>
        <v>0</v>
      </c>
      <c r="AJ87" s="5">
        <f t="shared" si="77"/>
        <v>0</v>
      </c>
      <c r="AK87" s="5">
        <f t="shared" si="78"/>
        <v>0</v>
      </c>
      <c r="AL87" s="5">
        <f t="shared" si="66"/>
        <v>0</v>
      </c>
      <c r="AN87" s="5">
        <f t="shared" si="51"/>
        <v>1</v>
      </c>
    </row>
    <row r="88" spans="3:40" s="5" customFormat="1" x14ac:dyDescent="0.55000000000000004">
      <c r="C88" s="5">
        <v>0</v>
      </c>
      <c r="D88" s="5">
        <v>1</v>
      </c>
      <c r="E88" s="5">
        <v>0</v>
      </c>
      <c r="G88" s="5">
        <v>1</v>
      </c>
      <c r="H88" s="49"/>
      <c r="I88" s="5" t="s">
        <v>25</v>
      </c>
      <c r="J88" s="5">
        <v>30000</v>
      </c>
      <c r="L88" s="5">
        <v>3</v>
      </c>
      <c r="M88" s="48" t="s">
        <v>48</v>
      </c>
      <c r="Z88" s="5">
        <f t="shared" si="67"/>
        <v>1</v>
      </c>
      <c r="AA88" s="5">
        <f t="shared" si="68"/>
        <v>0</v>
      </c>
      <c r="AB88" s="5">
        <f t="shared" si="69"/>
        <v>0</v>
      </c>
      <c r="AC88" s="5">
        <f t="shared" si="70"/>
        <v>0</v>
      </c>
      <c r="AD88" s="5">
        <f t="shared" si="71"/>
        <v>0</v>
      </c>
      <c r="AE88" s="5">
        <f t="shared" si="72"/>
        <v>0</v>
      </c>
      <c r="AF88" s="5">
        <f t="shared" si="73"/>
        <v>0</v>
      </c>
      <c r="AG88" s="5">
        <f t="shared" si="74"/>
        <v>30000</v>
      </c>
      <c r="AH88" s="5">
        <f t="shared" si="75"/>
        <v>0</v>
      </c>
      <c r="AI88" s="5">
        <f t="shared" si="76"/>
        <v>0</v>
      </c>
      <c r="AJ88" s="5">
        <f t="shared" si="77"/>
        <v>0</v>
      </c>
      <c r="AK88" s="5">
        <f t="shared" si="78"/>
        <v>0</v>
      </c>
      <c r="AL88" s="5">
        <f t="shared" si="66"/>
        <v>0</v>
      </c>
      <c r="AN88" s="5">
        <f t="shared" si="51"/>
        <v>3</v>
      </c>
    </row>
    <row r="89" spans="3:40" s="5" customFormat="1" x14ac:dyDescent="0.55000000000000004">
      <c r="C89" s="5">
        <v>0</v>
      </c>
      <c r="D89" s="5">
        <v>1</v>
      </c>
      <c r="E89" s="5">
        <v>0</v>
      </c>
      <c r="G89" s="5">
        <v>1</v>
      </c>
      <c r="H89" s="49">
        <v>8</v>
      </c>
      <c r="I89" s="5" t="s">
        <v>17</v>
      </c>
      <c r="K89" s="5">
        <f>$K$6*$I$4*H89</f>
        <v>15360</v>
      </c>
      <c r="L89" s="5">
        <v>3</v>
      </c>
      <c r="M89" s="48"/>
      <c r="Z89" s="5">
        <f t="shared" si="67"/>
        <v>1</v>
      </c>
      <c r="AA89" s="5">
        <f t="shared" si="68"/>
        <v>0</v>
      </c>
      <c r="AB89" s="5">
        <f t="shared" si="69"/>
        <v>0</v>
      </c>
      <c r="AC89" s="5">
        <f t="shared" si="70"/>
        <v>0</v>
      </c>
      <c r="AD89" s="5">
        <f t="shared" si="71"/>
        <v>0</v>
      </c>
      <c r="AE89" s="5">
        <f t="shared" si="72"/>
        <v>0</v>
      </c>
      <c r="AF89" s="5">
        <f t="shared" si="73"/>
        <v>0</v>
      </c>
      <c r="AG89" s="5">
        <f t="shared" si="74"/>
        <v>0</v>
      </c>
      <c r="AH89" s="5">
        <f t="shared" si="75"/>
        <v>15360</v>
      </c>
      <c r="AI89" s="5">
        <f t="shared" si="76"/>
        <v>0</v>
      </c>
      <c r="AJ89" s="5">
        <f t="shared" si="77"/>
        <v>0</v>
      </c>
      <c r="AK89" s="5">
        <f t="shared" si="78"/>
        <v>0</v>
      </c>
      <c r="AL89" s="5">
        <f t="shared" si="66"/>
        <v>0</v>
      </c>
      <c r="AN89" s="5">
        <f t="shared" si="51"/>
        <v>3</v>
      </c>
    </row>
    <row r="90" spans="3:40" s="5" customFormat="1" x14ac:dyDescent="0.55000000000000004">
      <c r="H90" s="49"/>
      <c r="M90" s="48"/>
      <c r="Z90" s="5">
        <f t="shared" si="67"/>
        <v>0</v>
      </c>
      <c r="AA90" s="5">
        <f t="shared" si="68"/>
        <v>0</v>
      </c>
      <c r="AB90" s="5">
        <f t="shared" si="69"/>
        <v>0</v>
      </c>
      <c r="AC90" s="5">
        <f t="shared" si="70"/>
        <v>0</v>
      </c>
      <c r="AD90" s="5">
        <f t="shared" si="71"/>
        <v>0</v>
      </c>
      <c r="AE90" s="5">
        <f t="shared" si="72"/>
        <v>0</v>
      </c>
      <c r="AF90" s="5">
        <f t="shared" si="73"/>
        <v>0</v>
      </c>
      <c r="AG90" s="5">
        <f t="shared" si="74"/>
        <v>0</v>
      </c>
      <c r="AH90" s="5">
        <f t="shared" si="75"/>
        <v>0</v>
      </c>
      <c r="AI90" s="5">
        <f t="shared" si="76"/>
        <v>0</v>
      </c>
      <c r="AJ90" s="5">
        <f t="shared" si="77"/>
        <v>0</v>
      </c>
      <c r="AK90" s="5">
        <f t="shared" si="78"/>
        <v>0</v>
      </c>
      <c r="AL90" s="5">
        <f t="shared" si="66"/>
        <v>0</v>
      </c>
      <c r="AN90" s="5">
        <f t="shared" si="51"/>
        <v>0</v>
      </c>
    </row>
    <row r="91" spans="3:40" s="5" customFormat="1" x14ac:dyDescent="0.55000000000000004">
      <c r="H91" s="50"/>
      <c r="M91" s="48"/>
      <c r="Z91" s="5">
        <f t="shared" si="67"/>
        <v>0</v>
      </c>
      <c r="AA91" s="5">
        <f t="shared" si="68"/>
        <v>0</v>
      </c>
      <c r="AB91" s="5">
        <f t="shared" si="69"/>
        <v>0</v>
      </c>
      <c r="AC91" s="5">
        <f t="shared" si="70"/>
        <v>0</v>
      </c>
      <c r="AD91" s="5">
        <f t="shared" si="71"/>
        <v>0</v>
      </c>
      <c r="AE91" s="5">
        <f t="shared" si="72"/>
        <v>0</v>
      </c>
      <c r="AF91" s="5">
        <f t="shared" si="73"/>
        <v>0</v>
      </c>
      <c r="AG91" s="5">
        <f t="shared" si="74"/>
        <v>0</v>
      </c>
      <c r="AH91" s="5">
        <f t="shared" si="75"/>
        <v>0</v>
      </c>
      <c r="AI91" s="5">
        <f t="shared" si="76"/>
        <v>0</v>
      </c>
      <c r="AJ91" s="5">
        <f t="shared" si="77"/>
        <v>0</v>
      </c>
      <c r="AK91" s="5">
        <f t="shared" si="78"/>
        <v>0</v>
      </c>
      <c r="AL91" s="5">
        <f t="shared" si="66"/>
        <v>0</v>
      </c>
      <c r="AN91" s="5">
        <f t="shared" si="51"/>
        <v>0</v>
      </c>
    </row>
    <row r="92" spans="3:40" s="5" customFormat="1" x14ac:dyDescent="0.55000000000000004">
      <c r="H92" s="47" t="s">
        <v>52</v>
      </c>
      <c r="M92" s="48"/>
      <c r="O92" s="35"/>
      <c r="Z92" s="5">
        <f t="shared" si="67"/>
        <v>0</v>
      </c>
      <c r="AA92" s="5">
        <f t="shared" si="68"/>
        <v>0</v>
      </c>
      <c r="AB92" s="5">
        <f t="shared" si="69"/>
        <v>0</v>
      </c>
      <c r="AC92" s="5">
        <f t="shared" si="70"/>
        <v>0</v>
      </c>
      <c r="AD92" s="5">
        <f t="shared" si="71"/>
        <v>0</v>
      </c>
      <c r="AE92" s="5">
        <f t="shared" si="72"/>
        <v>0</v>
      </c>
      <c r="AF92" s="5">
        <f t="shared" si="73"/>
        <v>0</v>
      </c>
      <c r="AG92" s="5">
        <f t="shared" si="74"/>
        <v>0</v>
      </c>
      <c r="AH92" s="5">
        <f t="shared" si="75"/>
        <v>0</v>
      </c>
      <c r="AI92" s="5">
        <f t="shared" si="76"/>
        <v>0</v>
      </c>
      <c r="AJ92" s="5">
        <f t="shared" si="77"/>
        <v>0</v>
      </c>
      <c r="AK92" s="5">
        <f t="shared" si="78"/>
        <v>0</v>
      </c>
      <c r="AL92" s="5">
        <f t="shared" si="66"/>
        <v>0</v>
      </c>
      <c r="AN92" s="5">
        <f t="shared" si="51"/>
        <v>0</v>
      </c>
    </row>
    <row r="93" spans="3:40" s="5" customFormat="1" x14ac:dyDescent="0.55000000000000004">
      <c r="C93" s="5">
        <v>0</v>
      </c>
      <c r="D93" s="5">
        <v>1</v>
      </c>
      <c r="E93" s="5">
        <v>0</v>
      </c>
      <c r="G93" s="5">
        <v>1</v>
      </c>
      <c r="H93" s="59" t="s">
        <v>234</v>
      </c>
      <c r="I93" s="5" t="s">
        <v>53</v>
      </c>
      <c r="J93" s="5">
        <v>120000</v>
      </c>
      <c r="L93" s="5">
        <v>7</v>
      </c>
      <c r="M93" s="48" t="s">
        <v>299</v>
      </c>
      <c r="O93" s="35"/>
      <c r="Z93" s="5">
        <f t="shared" si="67"/>
        <v>1</v>
      </c>
      <c r="AA93" s="5">
        <f t="shared" si="68"/>
        <v>0</v>
      </c>
      <c r="AB93" s="5">
        <f t="shared" si="69"/>
        <v>0</v>
      </c>
      <c r="AC93" s="5">
        <f t="shared" si="70"/>
        <v>0</v>
      </c>
      <c r="AD93" s="5">
        <f t="shared" si="71"/>
        <v>0</v>
      </c>
      <c r="AE93" s="5">
        <f t="shared" si="72"/>
        <v>0</v>
      </c>
      <c r="AF93" s="5">
        <f t="shared" si="73"/>
        <v>0</v>
      </c>
      <c r="AG93" s="5">
        <f t="shared" si="74"/>
        <v>120000</v>
      </c>
      <c r="AH93" s="5">
        <f t="shared" si="75"/>
        <v>0</v>
      </c>
      <c r="AI93" s="5">
        <f t="shared" si="76"/>
        <v>0</v>
      </c>
      <c r="AJ93" s="5">
        <f t="shared" si="77"/>
        <v>0</v>
      </c>
      <c r="AK93" s="5">
        <f t="shared" si="78"/>
        <v>0</v>
      </c>
      <c r="AL93" s="5">
        <f t="shared" si="66"/>
        <v>0</v>
      </c>
      <c r="AN93" s="5">
        <f t="shared" si="51"/>
        <v>7</v>
      </c>
    </row>
    <row r="94" spans="3:40" s="5" customFormat="1" ht="14.7" thickBot="1" x14ac:dyDescent="0.6">
      <c r="C94" s="5">
        <v>0</v>
      </c>
      <c r="D94" s="5">
        <v>0.8</v>
      </c>
      <c r="E94" s="5">
        <v>0.2</v>
      </c>
      <c r="G94" s="5">
        <v>1</v>
      </c>
      <c r="H94" s="77">
        <v>12</v>
      </c>
      <c r="I94" s="53" t="s">
        <v>17</v>
      </c>
      <c r="J94" s="53"/>
      <c r="K94" s="53">
        <f>$K$6*$I$4*H94</f>
        <v>23040</v>
      </c>
      <c r="L94" s="53">
        <v>7</v>
      </c>
      <c r="M94" s="54"/>
      <c r="O94" s="35"/>
      <c r="Z94" s="5">
        <f t="shared" si="67"/>
        <v>1</v>
      </c>
      <c r="AA94" s="5">
        <f t="shared" si="68"/>
        <v>0</v>
      </c>
      <c r="AB94" s="5">
        <f t="shared" si="69"/>
        <v>0</v>
      </c>
      <c r="AC94" s="5">
        <f t="shared" si="70"/>
        <v>0</v>
      </c>
      <c r="AD94" s="5">
        <f t="shared" si="71"/>
        <v>0</v>
      </c>
      <c r="AE94" s="5">
        <f t="shared" si="72"/>
        <v>0</v>
      </c>
      <c r="AF94" s="5">
        <f t="shared" si="73"/>
        <v>0</v>
      </c>
      <c r="AG94" s="5">
        <f t="shared" si="74"/>
        <v>0</v>
      </c>
      <c r="AH94" s="5">
        <f t="shared" si="75"/>
        <v>18432</v>
      </c>
      <c r="AI94" s="5">
        <f t="shared" si="76"/>
        <v>0</v>
      </c>
      <c r="AJ94" s="5">
        <f t="shared" si="77"/>
        <v>4608</v>
      </c>
      <c r="AK94" s="5">
        <f t="shared" si="78"/>
        <v>0</v>
      </c>
      <c r="AL94" s="5">
        <f t="shared" si="66"/>
        <v>0</v>
      </c>
      <c r="AN94" s="5">
        <f t="shared" ref="AN94:AN125" si="79">L94</f>
        <v>7</v>
      </c>
    </row>
    <row r="95" spans="3:40" s="5" customFormat="1" ht="14.7" thickBot="1" x14ac:dyDescent="0.6">
      <c r="H95" s="50"/>
      <c r="M95" s="48"/>
      <c r="O95" s="78"/>
      <c r="Z95" s="5">
        <f t="shared" si="67"/>
        <v>0</v>
      </c>
      <c r="AA95" s="5">
        <f t="shared" si="68"/>
        <v>0</v>
      </c>
      <c r="AB95" s="5">
        <f t="shared" si="69"/>
        <v>0</v>
      </c>
      <c r="AC95" s="5">
        <f t="shared" si="70"/>
        <v>0</v>
      </c>
      <c r="AD95" s="5">
        <f t="shared" si="71"/>
        <v>0</v>
      </c>
      <c r="AE95" s="5">
        <f t="shared" si="72"/>
        <v>0</v>
      </c>
      <c r="AF95" s="5">
        <f t="shared" si="73"/>
        <v>0</v>
      </c>
      <c r="AG95" s="5">
        <f t="shared" si="74"/>
        <v>0</v>
      </c>
      <c r="AH95" s="5">
        <f t="shared" si="75"/>
        <v>0</v>
      </c>
      <c r="AI95" s="5">
        <f t="shared" si="76"/>
        <v>0</v>
      </c>
      <c r="AJ95" s="5">
        <f t="shared" si="77"/>
        <v>0</v>
      </c>
      <c r="AK95" s="5">
        <f t="shared" si="78"/>
        <v>0</v>
      </c>
      <c r="AL95" s="5">
        <f t="shared" si="66"/>
        <v>0</v>
      </c>
      <c r="AN95" s="5">
        <f t="shared" si="79"/>
        <v>0</v>
      </c>
    </row>
    <row r="96" spans="3:40" s="5" customFormat="1" x14ac:dyDescent="0.55000000000000004">
      <c r="H96" s="58" t="s">
        <v>290</v>
      </c>
      <c r="I96" s="45"/>
      <c r="J96" s="45"/>
      <c r="K96" s="45"/>
      <c r="L96" s="45"/>
      <c r="M96" s="55"/>
      <c r="O96" s="35"/>
      <c r="Z96" s="5">
        <f t="shared" si="67"/>
        <v>0</v>
      </c>
      <c r="AA96" s="5">
        <f t="shared" si="68"/>
        <v>0</v>
      </c>
      <c r="AB96" s="5">
        <f t="shared" si="69"/>
        <v>0</v>
      </c>
      <c r="AC96" s="5">
        <f t="shared" si="70"/>
        <v>0</v>
      </c>
      <c r="AD96" s="5">
        <f t="shared" si="71"/>
        <v>0</v>
      </c>
      <c r="AE96" s="5">
        <f t="shared" si="72"/>
        <v>0</v>
      </c>
      <c r="AF96" s="5">
        <f t="shared" si="73"/>
        <v>0</v>
      </c>
      <c r="AG96" s="5">
        <f t="shared" si="74"/>
        <v>0</v>
      </c>
      <c r="AH96" s="5">
        <f t="shared" si="75"/>
        <v>0</v>
      </c>
      <c r="AI96" s="5">
        <f t="shared" si="76"/>
        <v>0</v>
      </c>
      <c r="AJ96" s="5">
        <f t="shared" si="77"/>
        <v>0</v>
      </c>
      <c r="AK96" s="5">
        <f t="shared" si="78"/>
        <v>0</v>
      </c>
      <c r="AL96" s="5">
        <f t="shared" si="66"/>
        <v>0</v>
      </c>
      <c r="AN96" s="5">
        <f t="shared" si="79"/>
        <v>0</v>
      </c>
    </row>
    <row r="97" spans="2:40" s="5" customFormat="1" x14ac:dyDescent="0.55000000000000004">
      <c r="H97" s="47"/>
      <c r="I97" s="12" t="s">
        <v>59</v>
      </c>
      <c r="M97" s="48" t="s">
        <v>72</v>
      </c>
      <c r="O97" s="35"/>
      <c r="Z97" s="5">
        <f t="shared" si="67"/>
        <v>0</v>
      </c>
      <c r="AA97" s="5">
        <f t="shared" si="68"/>
        <v>0</v>
      </c>
      <c r="AB97" s="5">
        <f t="shared" si="69"/>
        <v>0</v>
      </c>
      <c r="AC97" s="5">
        <f t="shared" si="70"/>
        <v>0</v>
      </c>
      <c r="AD97" s="5">
        <f t="shared" si="71"/>
        <v>0</v>
      </c>
      <c r="AE97" s="5">
        <f t="shared" si="72"/>
        <v>0</v>
      </c>
      <c r="AF97" s="5">
        <f t="shared" si="73"/>
        <v>0</v>
      </c>
      <c r="AG97" s="5">
        <f t="shared" si="74"/>
        <v>0</v>
      </c>
      <c r="AH97" s="5">
        <f t="shared" si="75"/>
        <v>0</v>
      </c>
      <c r="AI97" s="5">
        <f t="shared" si="76"/>
        <v>0</v>
      </c>
      <c r="AJ97" s="5">
        <f t="shared" si="77"/>
        <v>0</v>
      </c>
      <c r="AK97" s="5">
        <f t="shared" si="78"/>
        <v>0</v>
      </c>
      <c r="AL97" s="5">
        <f t="shared" si="66"/>
        <v>0</v>
      </c>
      <c r="AN97" s="5">
        <f t="shared" si="79"/>
        <v>0</v>
      </c>
    </row>
    <row r="98" spans="2:40" s="5" customFormat="1" x14ac:dyDescent="0.55000000000000004">
      <c r="C98" s="5">
        <v>1</v>
      </c>
      <c r="D98" s="5">
        <v>0</v>
      </c>
      <c r="E98" s="5">
        <v>0</v>
      </c>
      <c r="G98" s="5">
        <v>1</v>
      </c>
      <c r="H98" s="47"/>
      <c r="I98" s="13" t="s">
        <v>93</v>
      </c>
      <c r="J98" s="5">
        <v>80000</v>
      </c>
      <c r="L98" s="5">
        <v>9</v>
      </c>
      <c r="M98" s="48" t="s">
        <v>133</v>
      </c>
      <c r="O98" s="35"/>
      <c r="Z98" s="5">
        <f t="shared" si="67"/>
        <v>1</v>
      </c>
      <c r="AA98" s="5">
        <f t="shared" si="68"/>
        <v>0</v>
      </c>
      <c r="AB98" s="5">
        <f t="shared" si="69"/>
        <v>0</v>
      </c>
      <c r="AC98" s="5">
        <f t="shared" si="70"/>
        <v>0</v>
      </c>
      <c r="AD98" s="5">
        <f t="shared" si="71"/>
        <v>0</v>
      </c>
      <c r="AE98" s="5">
        <f t="shared" si="72"/>
        <v>80000</v>
      </c>
      <c r="AF98" s="5">
        <f t="shared" si="73"/>
        <v>0</v>
      </c>
      <c r="AG98" s="5">
        <f t="shared" si="74"/>
        <v>0</v>
      </c>
      <c r="AH98" s="5">
        <f t="shared" si="75"/>
        <v>0</v>
      </c>
      <c r="AI98" s="5">
        <f t="shared" si="76"/>
        <v>0</v>
      </c>
      <c r="AJ98" s="5">
        <f t="shared" si="77"/>
        <v>0</v>
      </c>
      <c r="AK98" s="5">
        <f t="shared" si="78"/>
        <v>0</v>
      </c>
      <c r="AL98" s="5">
        <f t="shared" si="66"/>
        <v>0</v>
      </c>
      <c r="AN98" s="5">
        <f t="shared" si="79"/>
        <v>9</v>
      </c>
    </row>
    <row r="99" spans="2:40" s="5" customFormat="1" x14ac:dyDescent="0.55000000000000004">
      <c r="C99" s="5">
        <v>1</v>
      </c>
      <c r="D99" s="5">
        <v>0</v>
      </c>
      <c r="E99" s="5">
        <v>0</v>
      </c>
      <c r="G99" s="15">
        <v>1</v>
      </c>
      <c r="H99" s="51">
        <v>8</v>
      </c>
      <c r="I99" s="65" t="s">
        <v>17</v>
      </c>
      <c r="K99" s="5">
        <f>H99*$I$4*K6</f>
        <v>15360</v>
      </c>
      <c r="L99" s="5">
        <v>9</v>
      </c>
      <c r="M99" s="48"/>
      <c r="Z99" s="5">
        <f t="shared" si="67"/>
        <v>1</v>
      </c>
      <c r="AA99" s="5">
        <f t="shared" si="68"/>
        <v>0</v>
      </c>
      <c r="AB99" s="5">
        <f t="shared" si="69"/>
        <v>0</v>
      </c>
      <c r="AC99" s="5">
        <f t="shared" si="70"/>
        <v>0</v>
      </c>
      <c r="AD99" s="5">
        <f t="shared" si="71"/>
        <v>0</v>
      </c>
      <c r="AE99" s="5">
        <f t="shared" si="72"/>
        <v>0</v>
      </c>
      <c r="AF99" s="5">
        <f t="shared" si="73"/>
        <v>15360</v>
      </c>
      <c r="AG99" s="5">
        <f t="shared" si="74"/>
        <v>0</v>
      </c>
      <c r="AH99" s="5">
        <f t="shared" si="75"/>
        <v>0</v>
      </c>
      <c r="AI99" s="5">
        <f t="shared" si="76"/>
        <v>0</v>
      </c>
      <c r="AJ99" s="5">
        <f t="shared" si="77"/>
        <v>0</v>
      </c>
      <c r="AK99" s="5">
        <f t="shared" si="78"/>
        <v>0</v>
      </c>
      <c r="AL99" s="5">
        <f t="shared" si="66"/>
        <v>0</v>
      </c>
      <c r="AN99" s="5">
        <f t="shared" si="79"/>
        <v>9</v>
      </c>
    </row>
    <row r="100" spans="2:40" s="5" customFormat="1" x14ac:dyDescent="0.55000000000000004">
      <c r="C100" s="5">
        <v>0.2</v>
      </c>
      <c r="D100" s="5">
        <v>0.6</v>
      </c>
      <c r="E100" s="5">
        <v>0.2</v>
      </c>
      <c r="G100" s="5">
        <v>1</v>
      </c>
      <c r="H100" s="49" t="s">
        <v>75</v>
      </c>
      <c r="I100" s="5" t="s">
        <v>227</v>
      </c>
      <c r="J100" s="14">
        <f>P100</f>
        <v>159264</v>
      </c>
      <c r="L100" s="5">
        <v>1</v>
      </c>
      <c r="M100" s="48" t="s">
        <v>273</v>
      </c>
      <c r="N100" s="5">
        <f>(1.2*0.5*2+1.6*0.5)*0.35*16*7.9</f>
        <v>88.48</v>
      </c>
      <c r="O100" s="5" t="s">
        <v>115</v>
      </c>
      <c r="P100" s="5">
        <f>N100*I7</f>
        <v>159264</v>
      </c>
      <c r="Z100" s="5">
        <f t="shared" si="67"/>
        <v>1</v>
      </c>
      <c r="AA100" s="5">
        <f t="shared" si="68"/>
        <v>0</v>
      </c>
      <c r="AB100" s="5">
        <f t="shared" si="69"/>
        <v>0</v>
      </c>
      <c r="AC100" s="5">
        <f t="shared" si="70"/>
        <v>0</v>
      </c>
      <c r="AD100" s="5">
        <f t="shared" si="71"/>
        <v>0</v>
      </c>
      <c r="AE100" s="5">
        <f t="shared" si="72"/>
        <v>31852.800000000003</v>
      </c>
      <c r="AF100" s="5">
        <f t="shared" si="73"/>
        <v>0</v>
      </c>
      <c r="AG100" s="5">
        <f t="shared" si="74"/>
        <v>95558.399999999994</v>
      </c>
      <c r="AH100" s="5">
        <f t="shared" si="75"/>
        <v>0</v>
      </c>
      <c r="AI100" s="5">
        <f t="shared" si="76"/>
        <v>31852.800000000003</v>
      </c>
      <c r="AJ100" s="5">
        <f t="shared" si="77"/>
        <v>0</v>
      </c>
      <c r="AK100" s="5">
        <f t="shared" si="78"/>
        <v>0</v>
      </c>
      <c r="AL100" s="5">
        <f t="shared" si="66"/>
        <v>0</v>
      </c>
      <c r="AN100" s="5">
        <f t="shared" si="79"/>
        <v>1</v>
      </c>
    </row>
    <row r="101" spans="2:40" s="5" customFormat="1" x14ac:dyDescent="0.55000000000000004">
      <c r="C101" s="5">
        <v>0.3</v>
      </c>
      <c r="D101" s="5">
        <v>0.5</v>
      </c>
      <c r="E101" s="5">
        <v>0.2</v>
      </c>
      <c r="G101" s="5">
        <v>1</v>
      </c>
      <c r="H101" s="60">
        <f>K101/I4/K6</f>
        <v>4.8</v>
      </c>
      <c r="I101" s="5" t="s">
        <v>17</v>
      </c>
      <c r="K101" s="5">
        <f>192*$I$4</f>
        <v>9216</v>
      </c>
      <c r="L101" s="5">
        <v>1</v>
      </c>
      <c r="M101" s="48" t="s">
        <v>205</v>
      </c>
      <c r="N101" s="5" t="s">
        <v>118</v>
      </c>
      <c r="P101" s="5" t="s">
        <v>119</v>
      </c>
      <c r="Q101" s="5">
        <f>16*3*4</f>
        <v>192</v>
      </c>
      <c r="R101" s="5" t="s">
        <v>108</v>
      </c>
      <c r="S101" s="5" t="s">
        <v>120</v>
      </c>
      <c r="T101" s="5" t="s">
        <v>121</v>
      </c>
      <c r="U101" s="5" t="s">
        <v>108</v>
      </c>
      <c r="Z101" s="5">
        <f t="shared" si="67"/>
        <v>1</v>
      </c>
      <c r="AA101" s="5">
        <f t="shared" si="68"/>
        <v>0</v>
      </c>
      <c r="AB101" s="5">
        <f t="shared" si="69"/>
        <v>0</v>
      </c>
      <c r="AC101" s="5">
        <f t="shared" si="70"/>
        <v>0</v>
      </c>
      <c r="AD101" s="5">
        <f t="shared" si="71"/>
        <v>0</v>
      </c>
      <c r="AE101" s="5">
        <f t="shared" si="72"/>
        <v>0</v>
      </c>
      <c r="AF101" s="5">
        <f t="shared" si="73"/>
        <v>2764.7999999999997</v>
      </c>
      <c r="AG101" s="5">
        <f t="shared" si="74"/>
        <v>0</v>
      </c>
      <c r="AH101" s="5">
        <f t="shared" si="75"/>
        <v>4608</v>
      </c>
      <c r="AI101" s="5">
        <f t="shared" si="76"/>
        <v>0</v>
      </c>
      <c r="AJ101" s="5">
        <f t="shared" si="77"/>
        <v>1843.2</v>
      </c>
      <c r="AK101" s="5">
        <f t="shared" si="78"/>
        <v>0</v>
      </c>
      <c r="AL101" s="5">
        <f t="shared" si="66"/>
        <v>0</v>
      </c>
      <c r="AN101" s="5">
        <f t="shared" si="79"/>
        <v>1</v>
      </c>
    </row>
    <row r="102" spans="2:40" s="5" customFormat="1" x14ac:dyDescent="0.55000000000000004">
      <c r="C102" s="5">
        <v>0</v>
      </c>
      <c r="D102" s="5">
        <v>1</v>
      </c>
      <c r="E102" s="5">
        <v>0</v>
      </c>
      <c r="G102" s="5">
        <v>1</v>
      </c>
      <c r="H102" s="49" t="s">
        <v>74</v>
      </c>
      <c r="I102" s="5" t="s">
        <v>67</v>
      </c>
      <c r="J102" s="14">
        <f>O102+R102+T102+V102+P102</f>
        <v>319314.31338005397</v>
      </c>
      <c r="L102" s="5">
        <v>1</v>
      </c>
      <c r="M102" s="48" t="s">
        <v>206</v>
      </c>
      <c r="N102" s="14">
        <f>(3.5^2-2.5^2)*PI()*2</f>
        <v>37.699111843077517</v>
      </c>
      <c r="O102" s="5">
        <f>N102*I8</f>
        <v>67858.401317539538</v>
      </c>
      <c r="P102" s="14">
        <v>82160</v>
      </c>
      <c r="Q102" s="14"/>
      <c r="R102" s="14">
        <f>2.5*2*PI()*2*I11</f>
        <v>31415.926535897932</v>
      </c>
      <c r="S102" s="14">
        <f>(2.75^2*PI())*0.35</f>
        <v>8.3154030549704832</v>
      </c>
      <c r="T102" s="14">
        <f>S102*K7*I7</f>
        <v>118245.03144168029</v>
      </c>
      <c r="U102" s="14">
        <f>2.5^2*PI()</f>
        <v>19.634954084936208</v>
      </c>
      <c r="V102" s="14">
        <f>U102*I11</f>
        <v>19634.954084936209</v>
      </c>
      <c r="Z102" s="5">
        <f t="shared" si="67"/>
        <v>1</v>
      </c>
      <c r="AA102" s="5">
        <f t="shared" si="68"/>
        <v>0</v>
      </c>
      <c r="AB102" s="5">
        <f t="shared" si="69"/>
        <v>0</v>
      </c>
      <c r="AC102" s="5">
        <f t="shared" si="70"/>
        <v>0</v>
      </c>
      <c r="AD102" s="5">
        <f t="shared" si="71"/>
        <v>0</v>
      </c>
      <c r="AE102" s="5">
        <f t="shared" si="72"/>
        <v>0</v>
      </c>
      <c r="AF102" s="5">
        <f t="shared" si="73"/>
        <v>0</v>
      </c>
      <c r="AG102" s="5">
        <f t="shared" si="74"/>
        <v>319314.31338005397</v>
      </c>
      <c r="AH102" s="5">
        <f t="shared" si="75"/>
        <v>0</v>
      </c>
      <c r="AI102" s="5">
        <f t="shared" si="76"/>
        <v>0</v>
      </c>
      <c r="AJ102" s="5">
        <f t="shared" si="77"/>
        <v>0</v>
      </c>
      <c r="AK102" s="5">
        <f t="shared" si="78"/>
        <v>0</v>
      </c>
      <c r="AL102" s="5">
        <f t="shared" si="66"/>
        <v>0</v>
      </c>
      <c r="AN102" s="5">
        <f t="shared" si="79"/>
        <v>1</v>
      </c>
    </row>
    <row r="103" spans="2:40" s="5" customFormat="1" x14ac:dyDescent="0.55000000000000004">
      <c r="C103" s="15">
        <v>0</v>
      </c>
      <c r="D103" s="15">
        <v>1</v>
      </c>
      <c r="E103" s="15">
        <v>0</v>
      </c>
      <c r="G103" s="15">
        <v>1</v>
      </c>
      <c r="H103" s="49">
        <f>K103/$I$4/$K$6</f>
        <v>15</v>
      </c>
      <c r="I103" s="5" t="s">
        <v>17</v>
      </c>
      <c r="K103" s="5">
        <f>N103*$I$4</f>
        <v>28800</v>
      </c>
      <c r="L103" s="5">
        <v>1</v>
      </c>
      <c r="M103" s="48" t="s">
        <v>198</v>
      </c>
      <c r="N103" s="14">
        <f>40*3*4+120</f>
        <v>600</v>
      </c>
      <c r="O103" s="14" t="s">
        <v>58</v>
      </c>
      <c r="P103" s="14"/>
      <c r="Q103" s="5">
        <f>N103*3*I4</f>
        <v>86400</v>
      </c>
      <c r="S103" s="14"/>
      <c r="T103" s="14"/>
      <c r="U103" s="14"/>
      <c r="V103" s="14"/>
      <c r="Z103" s="5">
        <f t="shared" si="67"/>
        <v>1</v>
      </c>
      <c r="AA103" s="5">
        <f t="shared" si="68"/>
        <v>0</v>
      </c>
      <c r="AB103" s="5">
        <f t="shared" si="69"/>
        <v>0</v>
      </c>
      <c r="AC103" s="5">
        <f t="shared" si="70"/>
        <v>0</v>
      </c>
      <c r="AD103" s="5">
        <f t="shared" si="71"/>
        <v>0</v>
      </c>
      <c r="AE103" s="5">
        <f t="shared" si="72"/>
        <v>0</v>
      </c>
      <c r="AF103" s="5">
        <f t="shared" si="73"/>
        <v>0</v>
      </c>
      <c r="AG103" s="5">
        <f t="shared" si="74"/>
        <v>0</v>
      </c>
      <c r="AH103" s="5">
        <f t="shared" si="75"/>
        <v>28800</v>
      </c>
      <c r="AI103" s="5">
        <f t="shared" si="76"/>
        <v>0</v>
      </c>
      <c r="AJ103" s="5">
        <f t="shared" si="77"/>
        <v>0</v>
      </c>
      <c r="AK103" s="5">
        <f t="shared" si="78"/>
        <v>0</v>
      </c>
      <c r="AL103" s="5">
        <f t="shared" si="66"/>
        <v>0</v>
      </c>
      <c r="AN103" s="5">
        <f t="shared" si="79"/>
        <v>1</v>
      </c>
    </row>
    <row r="104" spans="2:40" s="5" customFormat="1" x14ac:dyDescent="0.55000000000000004">
      <c r="C104" s="5">
        <v>0</v>
      </c>
      <c r="D104" s="5">
        <v>1</v>
      </c>
      <c r="E104" s="5">
        <v>0</v>
      </c>
      <c r="G104" s="5">
        <v>1</v>
      </c>
      <c r="H104" s="49"/>
      <c r="I104" s="5" t="s">
        <v>142</v>
      </c>
      <c r="J104" s="14">
        <v>15000</v>
      </c>
      <c r="L104" s="5">
        <v>9</v>
      </c>
      <c r="M104" s="48" t="s">
        <v>207</v>
      </c>
      <c r="N104" s="14"/>
      <c r="P104" s="14"/>
      <c r="Q104" s="14"/>
      <c r="R104" s="14"/>
      <c r="S104" s="14"/>
      <c r="T104" s="14"/>
      <c r="U104" s="14"/>
      <c r="V104" s="14"/>
      <c r="Z104" s="5">
        <f t="shared" si="67"/>
        <v>1</v>
      </c>
      <c r="AA104" s="5">
        <f t="shared" si="68"/>
        <v>0</v>
      </c>
      <c r="AB104" s="5">
        <f t="shared" si="69"/>
        <v>0</v>
      </c>
      <c r="AC104" s="5">
        <f t="shared" si="70"/>
        <v>0</v>
      </c>
      <c r="AD104" s="5">
        <f t="shared" si="71"/>
        <v>0</v>
      </c>
      <c r="AE104" s="5">
        <f t="shared" si="72"/>
        <v>0</v>
      </c>
      <c r="AF104" s="5">
        <f t="shared" si="73"/>
        <v>0</v>
      </c>
      <c r="AG104" s="5">
        <f t="shared" si="74"/>
        <v>15000</v>
      </c>
      <c r="AH104" s="5">
        <f t="shared" si="75"/>
        <v>0</v>
      </c>
      <c r="AI104" s="5">
        <f t="shared" si="76"/>
        <v>0</v>
      </c>
      <c r="AJ104" s="5">
        <f t="shared" si="77"/>
        <v>0</v>
      </c>
      <c r="AK104" s="5">
        <f t="shared" si="78"/>
        <v>0</v>
      </c>
      <c r="AL104" s="5">
        <f t="shared" si="66"/>
        <v>0</v>
      </c>
      <c r="AN104" s="5">
        <f t="shared" si="79"/>
        <v>9</v>
      </c>
    </row>
    <row r="105" spans="2:40" s="5" customFormat="1" x14ac:dyDescent="0.55000000000000004">
      <c r="C105" s="5">
        <v>0</v>
      </c>
      <c r="D105" s="5">
        <v>1</v>
      </c>
      <c r="E105" s="5">
        <v>0</v>
      </c>
      <c r="G105" s="5">
        <v>1</v>
      </c>
      <c r="H105" s="49"/>
      <c r="I105" s="5" t="s">
        <v>143</v>
      </c>
      <c r="J105" s="14">
        <v>7000</v>
      </c>
      <c r="L105" s="5">
        <v>9</v>
      </c>
      <c r="M105" s="48" t="s">
        <v>144</v>
      </c>
      <c r="N105" s="14"/>
      <c r="P105" s="14"/>
      <c r="Q105" s="14"/>
      <c r="R105" s="14"/>
      <c r="S105" s="14"/>
      <c r="T105" s="14"/>
      <c r="U105" s="14"/>
      <c r="V105" s="14"/>
      <c r="Z105" s="5">
        <f t="shared" si="67"/>
        <v>1</v>
      </c>
      <c r="AA105" s="5">
        <f t="shared" si="68"/>
        <v>0</v>
      </c>
      <c r="AB105" s="5">
        <f t="shared" si="69"/>
        <v>0</v>
      </c>
      <c r="AC105" s="5">
        <f t="shared" si="70"/>
        <v>0</v>
      </c>
      <c r="AD105" s="5">
        <f t="shared" si="71"/>
        <v>0</v>
      </c>
      <c r="AE105" s="5">
        <f t="shared" si="72"/>
        <v>0</v>
      </c>
      <c r="AF105" s="5">
        <f t="shared" si="73"/>
        <v>0</v>
      </c>
      <c r="AG105" s="5">
        <f t="shared" si="74"/>
        <v>7000</v>
      </c>
      <c r="AH105" s="5">
        <f t="shared" si="75"/>
        <v>0</v>
      </c>
      <c r="AI105" s="5">
        <f t="shared" si="76"/>
        <v>0</v>
      </c>
      <c r="AJ105" s="5">
        <f t="shared" si="77"/>
        <v>0</v>
      </c>
      <c r="AK105" s="5">
        <f t="shared" si="78"/>
        <v>0</v>
      </c>
      <c r="AL105" s="5">
        <f t="shared" si="66"/>
        <v>0</v>
      </c>
      <c r="AN105" s="5">
        <f t="shared" si="79"/>
        <v>9</v>
      </c>
    </row>
    <row r="106" spans="2:40" s="5" customFormat="1" x14ac:dyDescent="0.55000000000000004">
      <c r="C106" s="5">
        <v>0</v>
      </c>
      <c r="D106" s="5">
        <v>1</v>
      </c>
      <c r="E106" s="5">
        <v>0</v>
      </c>
      <c r="G106" s="5">
        <v>1</v>
      </c>
      <c r="H106" s="50">
        <v>4</v>
      </c>
      <c r="I106" s="15" t="s">
        <v>17</v>
      </c>
      <c r="K106" s="5">
        <f>$K$6*$I$4*H106</f>
        <v>7680</v>
      </c>
      <c r="L106" s="15">
        <v>9</v>
      </c>
      <c r="M106" s="61" t="s">
        <v>193</v>
      </c>
      <c r="O106" s="5" t="s">
        <v>209</v>
      </c>
      <c r="Z106" s="5">
        <f t="shared" si="67"/>
        <v>1</v>
      </c>
      <c r="AA106" s="5">
        <f t="shared" si="68"/>
        <v>0</v>
      </c>
      <c r="AB106" s="5">
        <f t="shared" si="69"/>
        <v>0</v>
      </c>
      <c r="AC106" s="5">
        <f t="shared" si="70"/>
        <v>0</v>
      </c>
      <c r="AD106" s="5">
        <f t="shared" si="71"/>
        <v>0</v>
      </c>
      <c r="AE106" s="5">
        <f t="shared" si="72"/>
        <v>0</v>
      </c>
      <c r="AF106" s="5">
        <f t="shared" si="73"/>
        <v>0</v>
      </c>
      <c r="AG106" s="5">
        <f t="shared" si="74"/>
        <v>0</v>
      </c>
      <c r="AH106" s="5">
        <f t="shared" si="75"/>
        <v>7680</v>
      </c>
      <c r="AI106" s="5">
        <f t="shared" si="76"/>
        <v>0</v>
      </c>
      <c r="AJ106" s="5">
        <f t="shared" si="77"/>
        <v>0</v>
      </c>
      <c r="AK106" s="5">
        <f t="shared" si="78"/>
        <v>0</v>
      </c>
      <c r="AL106" s="5">
        <f t="shared" si="66"/>
        <v>0</v>
      </c>
      <c r="AN106" s="5">
        <f t="shared" si="79"/>
        <v>9</v>
      </c>
    </row>
    <row r="107" spans="2:40" s="5" customFormat="1" x14ac:dyDescent="0.55000000000000004">
      <c r="C107" s="5">
        <v>0</v>
      </c>
      <c r="D107" s="5">
        <v>1</v>
      </c>
      <c r="E107" s="5">
        <v>0</v>
      </c>
      <c r="G107" s="5">
        <v>3</v>
      </c>
      <c r="H107" s="49" t="s">
        <v>73</v>
      </c>
      <c r="I107" s="5" t="s">
        <v>68</v>
      </c>
      <c r="J107" s="14">
        <f>O107+R107+P107</f>
        <v>260454</v>
      </c>
      <c r="L107" s="5">
        <v>1</v>
      </c>
      <c r="M107" s="48" t="s">
        <v>208</v>
      </c>
      <c r="N107" s="5">
        <f>(10-2.5)*2*1*2+4*2*1+(10-2.5)*4*1</f>
        <v>68</v>
      </c>
      <c r="O107" s="5">
        <f>N107*I8</f>
        <v>122400</v>
      </c>
      <c r="P107" s="5">
        <f>Q107*0.1*K7*I7</f>
        <v>81054</v>
      </c>
      <c r="Q107" s="5">
        <f>(10-2.5)*2*3+4*2*1+2*2</f>
        <v>57</v>
      </c>
      <c r="R107" s="14">
        <f>Q107*I11</f>
        <v>57000</v>
      </c>
      <c r="Z107" s="5">
        <f t="shared" si="67"/>
        <v>3</v>
      </c>
      <c r="AA107" s="5">
        <f t="shared" si="68"/>
        <v>0</v>
      </c>
      <c r="AB107" s="5">
        <f t="shared" si="69"/>
        <v>0</v>
      </c>
      <c r="AC107" s="5">
        <f t="shared" si="70"/>
        <v>0</v>
      </c>
      <c r="AD107" s="5">
        <f t="shared" si="71"/>
        <v>0</v>
      </c>
      <c r="AE107" s="5">
        <f t="shared" si="72"/>
        <v>0</v>
      </c>
      <c r="AF107" s="5">
        <f t="shared" si="73"/>
        <v>0</v>
      </c>
      <c r="AG107" s="5">
        <f t="shared" si="74"/>
        <v>260454</v>
      </c>
      <c r="AH107" s="5">
        <f t="shared" si="75"/>
        <v>0</v>
      </c>
      <c r="AI107" s="5">
        <f t="shared" si="76"/>
        <v>0</v>
      </c>
      <c r="AJ107" s="5">
        <f t="shared" si="77"/>
        <v>0</v>
      </c>
      <c r="AK107" s="5">
        <f t="shared" si="78"/>
        <v>0</v>
      </c>
      <c r="AL107" s="5">
        <f t="shared" si="66"/>
        <v>0</v>
      </c>
      <c r="AN107" s="5">
        <f t="shared" si="79"/>
        <v>1</v>
      </c>
    </row>
    <row r="108" spans="2:40" s="5" customFormat="1" x14ac:dyDescent="0.55000000000000004">
      <c r="C108" s="5">
        <v>0</v>
      </c>
      <c r="D108" s="5">
        <v>0.2</v>
      </c>
      <c r="E108" s="5">
        <v>0.8</v>
      </c>
      <c r="G108" s="5">
        <v>3</v>
      </c>
      <c r="H108" s="60">
        <f>K108/$I$4/$K$6</f>
        <v>12.05</v>
      </c>
      <c r="I108" s="5" t="s">
        <v>17</v>
      </c>
      <c r="K108" s="5">
        <f>N108*$I$4</f>
        <v>23136</v>
      </c>
      <c r="L108" s="5">
        <v>1</v>
      </c>
      <c r="M108" s="48" t="s">
        <v>199</v>
      </c>
      <c r="N108" s="5">
        <f>15*3*3*2+8*3*3+140</f>
        <v>482</v>
      </c>
      <c r="Z108" s="5">
        <f t="shared" si="67"/>
        <v>3</v>
      </c>
      <c r="AA108" s="5">
        <f t="shared" si="68"/>
        <v>0</v>
      </c>
      <c r="AB108" s="5">
        <f t="shared" si="69"/>
        <v>0</v>
      </c>
      <c r="AC108" s="5">
        <f t="shared" si="70"/>
        <v>0</v>
      </c>
      <c r="AD108" s="5">
        <f t="shared" si="71"/>
        <v>0</v>
      </c>
      <c r="AE108" s="5">
        <f t="shared" si="72"/>
        <v>0</v>
      </c>
      <c r="AF108" s="5">
        <f t="shared" si="73"/>
        <v>0</v>
      </c>
      <c r="AG108" s="5">
        <f t="shared" si="74"/>
        <v>0</v>
      </c>
      <c r="AH108" s="5">
        <f t="shared" si="75"/>
        <v>4627.2</v>
      </c>
      <c r="AI108" s="5">
        <f t="shared" si="76"/>
        <v>0</v>
      </c>
      <c r="AJ108" s="5">
        <f t="shared" si="77"/>
        <v>18508.8</v>
      </c>
      <c r="AK108" s="5">
        <f t="shared" si="78"/>
        <v>0</v>
      </c>
      <c r="AL108" s="5">
        <f t="shared" si="66"/>
        <v>0</v>
      </c>
      <c r="AN108" s="5">
        <f t="shared" si="79"/>
        <v>1</v>
      </c>
    </row>
    <row r="109" spans="2:40" s="5" customFormat="1" x14ac:dyDescent="0.55000000000000004">
      <c r="H109" s="49"/>
      <c r="M109" s="48"/>
      <c r="Z109" s="5">
        <f t="shared" si="67"/>
        <v>0</v>
      </c>
      <c r="AA109" s="5">
        <f t="shared" si="68"/>
        <v>0</v>
      </c>
      <c r="AB109" s="5">
        <f t="shared" si="69"/>
        <v>0</v>
      </c>
      <c r="AC109" s="5">
        <f t="shared" si="70"/>
        <v>0</v>
      </c>
      <c r="AD109" s="5">
        <f t="shared" si="71"/>
        <v>0</v>
      </c>
      <c r="AE109" s="5">
        <f t="shared" si="72"/>
        <v>0</v>
      </c>
      <c r="AF109" s="5">
        <f t="shared" si="73"/>
        <v>0</v>
      </c>
      <c r="AG109" s="5">
        <f t="shared" si="74"/>
        <v>0</v>
      </c>
      <c r="AH109" s="5">
        <f t="shared" si="75"/>
        <v>0</v>
      </c>
      <c r="AI109" s="5">
        <f t="shared" si="76"/>
        <v>0</v>
      </c>
      <c r="AJ109" s="5">
        <f t="shared" si="77"/>
        <v>0</v>
      </c>
      <c r="AK109" s="5">
        <f t="shared" si="78"/>
        <v>0</v>
      </c>
      <c r="AL109" s="5">
        <f t="shared" si="66"/>
        <v>0</v>
      </c>
      <c r="AN109" s="5">
        <f t="shared" si="79"/>
        <v>0</v>
      </c>
    </row>
    <row r="110" spans="2:40" s="5" customFormat="1" x14ac:dyDescent="0.55000000000000004">
      <c r="H110" s="47" t="s">
        <v>145</v>
      </c>
      <c r="M110" s="48"/>
      <c r="Z110" s="5">
        <f t="shared" si="67"/>
        <v>0</v>
      </c>
      <c r="AA110" s="5">
        <f t="shared" si="68"/>
        <v>0</v>
      </c>
      <c r="AB110" s="5">
        <f t="shared" si="69"/>
        <v>0</v>
      </c>
      <c r="AC110" s="5">
        <f t="shared" si="70"/>
        <v>0</v>
      </c>
      <c r="AD110" s="5">
        <f t="shared" si="71"/>
        <v>0</v>
      </c>
      <c r="AE110" s="5">
        <f t="shared" si="72"/>
        <v>0</v>
      </c>
      <c r="AF110" s="5">
        <f t="shared" si="73"/>
        <v>0</v>
      </c>
      <c r="AG110" s="5">
        <f t="shared" si="74"/>
        <v>0</v>
      </c>
      <c r="AH110" s="5">
        <f t="shared" si="75"/>
        <v>0</v>
      </c>
      <c r="AI110" s="5">
        <f t="shared" si="76"/>
        <v>0</v>
      </c>
      <c r="AJ110" s="5">
        <f t="shared" si="77"/>
        <v>0</v>
      </c>
      <c r="AK110" s="5">
        <f t="shared" si="78"/>
        <v>0</v>
      </c>
      <c r="AL110" s="5">
        <f t="shared" si="66"/>
        <v>0</v>
      </c>
      <c r="AN110" s="5">
        <f t="shared" si="79"/>
        <v>0</v>
      </c>
    </row>
    <row r="111" spans="2:40" s="5" customFormat="1" x14ac:dyDescent="0.55000000000000004">
      <c r="B111" s="5">
        <v>0.1</v>
      </c>
      <c r="C111" s="5">
        <v>0.2</v>
      </c>
      <c r="D111" s="5">
        <v>0.4</v>
      </c>
      <c r="E111" s="5">
        <v>0.2</v>
      </c>
      <c r="F111" s="5">
        <v>0.1</v>
      </c>
      <c r="G111" s="5">
        <v>1</v>
      </c>
      <c r="H111" s="49"/>
      <c r="I111" s="5" t="s">
        <v>146</v>
      </c>
      <c r="J111" s="5">
        <v>125000</v>
      </c>
      <c r="L111" s="5">
        <v>11</v>
      </c>
      <c r="M111" s="48" t="s">
        <v>147</v>
      </c>
      <c r="Z111" s="5">
        <f t="shared" si="67"/>
        <v>1</v>
      </c>
      <c r="AA111" s="5">
        <f t="shared" si="68"/>
        <v>0</v>
      </c>
      <c r="AB111" s="5">
        <f t="shared" si="69"/>
        <v>0</v>
      </c>
      <c r="AC111" s="5">
        <f t="shared" si="70"/>
        <v>12500</v>
      </c>
      <c r="AD111" s="5">
        <f t="shared" si="71"/>
        <v>0</v>
      </c>
      <c r="AE111" s="5">
        <f t="shared" si="72"/>
        <v>25000</v>
      </c>
      <c r="AF111" s="5">
        <f t="shared" si="73"/>
        <v>0</v>
      </c>
      <c r="AG111" s="5">
        <f t="shared" si="74"/>
        <v>50000</v>
      </c>
      <c r="AH111" s="5">
        <f t="shared" si="75"/>
        <v>0</v>
      </c>
      <c r="AI111" s="5">
        <f t="shared" si="76"/>
        <v>25000</v>
      </c>
      <c r="AJ111" s="5">
        <f t="shared" si="77"/>
        <v>0</v>
      </c>
      <c r="AK111" s="5">
        <f t="shared" si="78"/>
        <v>12500</v>
      </c>
      <c r="AL111" s="5">
        <f t="shared" si="66"/>
        <v>0</v>
      </c>
      <c r="AN111" s="5">
        <f t="shared" si="79"/>
        <v>11</v>
      </c>
    </row>
    <row r="112" spans="2:40" s="5" customFormat="1" ht="14.7" thickBot="1" x14ac:dyDescent="0.6">
      <c r="B112" s="5">
        <v>0</v>
      </c>
      <c r="C112" s="5">
        <v>0</v>
      </c>
      <c r="D112" s="5">
        <v>1</v>
      </c>
      <c r="E112" s="5">
        <v>0</v>
      </c>
      <c r="F112" s="5">
        <v>0</v>
      </c>
      <c r="G112" s="5">
        <v>3</v>
      </c>
      <c r="H112" s="52"/>
      <c r="I112" s="62" t="s">
        <v>189</v>
      </c>
      <c r="J112" s="53">
        <v>50000</v>
      </c>
      <c r="K112" s="53"/>
      <c r="L112" s="62">
        <v>11</v>
      </c>
      <c r="M112" s="63" t="s">
        <v>190</v>
      </c>
      <c r="Z112" s="5">
        <f t="shared" si="67"/>
        <v>3</v>
      </c>
      <c r="AA112" s="5">
        <f t="shared" si="68"/>
        <v>0</v>
      </c>
      <c r="AB112" s="5">
        <f t="shared" si="69"/>
        <v>0</v>
      </c>
      <c r="AC112" s="5">
        <f t="shared" si="70"/>
        <v>0</v>
      </c>
      <c r="AD112" s="5">
        <f t="shared" si="71"/>
        <v>0</v>
      </c>
      <c r="AE112" s="5">
        <f t="shared" si="72"/>
        <v>0</v>
      </c>
      <c r="AF112" s="5">
        <f t="shared" si="73"/>
        <v>0</v>
      </c>
      <c r="AG112" s="5">
        <f t="shared" si="74"/>
        <v>50000</v>
      </c>
      <c r="AH112" s="5">
        <f t="shared" si="75"/>
        <v>0</v>
      </c>
      <c r="AI112" s="5">
        <f t="shared" si="76"/>
        <v>0</v>
      </c>
      <c r="AJ112" s="5">
        <f t="shared" si="77"/>
        <v>0</v>
      </c>
      <c r="AK112" s="5">
        <f t="shared" si="78"/>
        <v>0</v>
      </c>
      <c r="AL112" s="5">
        <f t="shared" si="66"/>
        <v>0</v>
      </c>
      <c r="AN112" s="5">
        <f t="shared" si="79"/>
        <v>11</v>
      </c>
    </row>
    <row r="113" spans="3:40" s="5" customFormat="1" ht="14.7" thickBot="1" x14ac:dyDescent="0.6">
      <c r="H113" s="32"/>
      <c r="Z113" s="5">
        <f t="shared" si="67"/>
        <v>0</v>
      </c>
      <c r="AA113" s="5">
        <f t="shared" si="68"/>
        <v>0</v>
      </c>
      <c r="AB113" s="5">
        <f t="shared" si="69"/>
        <v>0</v>
      </c>
      <c r="AC113" s="5">
        <f t="shared" si="70"/>
        <v>0</v>
      </c>
      <c r="AD113" s="5">
        <f t="shared" si="71"/>
        <v>0</v>
      </c>
      <c r="AE113" s="5">
        <f t="shared" si="72"/>
        <v>0</v>
      </c>
      <c r="AF113" s="5">
        <f t="shared" si="73"/>
        <v>0</v>
      </c>
      <c r="AG113" s="5">
        <f t="shared" si="74"/>
        <v>0</v>
      </c>
      <c r="AH113" s="5">
        <f t="shared" si="75"/>
        <v>0</v>
      </c>
      <c r="AI113" s="5">
        <f t="shared" si="76"/>
        <v>0</v>
      </c>
      <c r="AJ113" s="5">
        <f t="shared" si="77"/>
        <v>0</v>
      </c>
      <c r="AK113" s="5">
        <f t="shared" si="78"/>
        <v>0</v>
      </c>
      <c r="AL113" s="5">
        <f t="shared" si="66"/>
        <v>0</v>
      </c>
      <c r="AN113" s="5">
        <f t="shared" si="79"/>
        <v>0</v>
      </c>
    </row>
    <row r="114" spans="3:40" s="5" customFormat="1" x14ac:dyDescent="0.55000000000000004">
      <c r="H114" s="64" t="s">
        <v>78</v>
      </c>
      <c r="I114" s="45"/>
      <c r="J114" s="45"/>
      <c r="K114" s="45"/>
      <c r="L114" s="45"/>
      <c r="M114" s="55"/>
      <c r="Z114" s="5">
        <f t="shared" si="67"/>
        <v>0</v>
      </c>
      <c r="AA114" s="5">
        <f t="shared" si="68"/>
        <v>0</v>
      </c>
      <c r="AB114" s="5">
        <f t="shared" si="69"/>
        <v>0</v>
      </c>
      <c r="AC114" s="5">
        <f t="shared" si="70"/>
        <v>0</v>
      </c>
      <c r="AD114" s="5">
        <f t="shared" si="71"/>
        <v>0</v>
      </c>
      <c r="AE114" s="5">
        <f t="shared" si="72"/>
        <v>0</v>
      </c>
      <c r="AF114" s="5">
        <f t="shared" si="73"/>
        <v>0</v>
      </c>
      <c r="AG114" s="5">
        <f t="shared" si="74"/>
        <v>0</v>
      </c>
      <c r="AH114" s="5">
        <f t="shared" si="75"/>
        <v>0</v>
      </c>
      <c r="AI114" s="5">
        <f t="shared" si="76"/>
        <v>0</v>
      </c>
      <c r="AJ114" s="5">
        <f t="shared" si="77"/>
        <v>0</v>
      </c>
      <c r="AK114" s="5">
        <f t="shared" si="78"/>
        <v>0</v>
      </c>
      <c r="AL114" s="5">
        <f t="shared" si="66"/>
        <v>0</v>
      </c>
      <c r="AN114" s="5">
        <f t="shared" si="79"/>
        <v>0</v>
      </c>
    </row>
    <row r="115" spans="3:40" s="5" customFormat="1" x14ac:dyDescent="0.55000000000000004">
      <c r="C115" s="5">
        <v>0</v>
      </c>
      <c r="D115" s="5">
        <v>1</v>
      </c>
      <c r="E115" s="5">
        <v>0</v>
      </c>
      <c r="G115" s="5">
        <v>1</v>
      </c>
      <c r="H115" s="49" t="s">
        <v>141</v>
      </c>
      <c r="I115" s="5" t="s">
        <v>94</v>
      </c>
      <c r="J115" s="5">
        <v>280000</v>
      </c>
      <c r="L115" s="5">
        <v>9</v>
      </c>
      <c r="M115" s="48" t="s">
        <v>137</v>
      </c>
      <c r="Z115" s="5">
        <f t="shared" si="67"/>
        <v>1</v>
      </c>
      <c r="AA115" s="5">
        <f t="shared" si="68"/>
        <v>0</v>
      </c>
      <c r="AB115" s="5">
        <f t="shared" si="69"/>
        <v>0</v>
      </c>
      <c r="AC115" s="5">
        <f t="shared" si="70"/>
        <v>0</v>
      </c>
      <c r="AD115" s="5">
        <f t="shared" si="71"/>
        <v>0</v>
      </c>
      <c r="AE115" s="5">
        <f t="shared" si="72"/>
        <v>0</v>
      </c>
      <c r="AF115" s="5">
        <f t="shared" si="73"/>
        <v>0</v>
      </c>
      <c r="AG115" s="5">
        <f t="shared" si="74"/>
        <v>280000</v>
      </c>
      <c r="AH115" s="5">
        <f t="shared" si="75"/>
        <v>0</v>
      </c>
      <c r="AI115" s="5">
        <f t="shared" si="76"/>
        <v>0</v>
      </c>
      <c r="AJ115" s="5">
        <f t="shared" si="77"/>
        <v>0</v>
      </c>
      <c r="AK115" s="5">
        <f t="shared" si="78"/>
        <v>0</v>
      </c>
      <c r="AL115" s="5">
        <f t="shared" si="66"/>
        <v>0</v>
      </c>
      <c r="AN115" s="5">
        <f t="shared" si="79"/>
        <v>9</v>
      </c>
    </row>
    <row r="116" spans="3:40" s="5" customFormat="1" x14ac:dyDescent="0.55000000000000004">
      <c r="C116" s="5">
        <v>0</v>
      </c>
      <c r="D116" s="5">
        <v>1</v>
      </c>
      <c r="E116" s="5">
        <v>0</v>
      </c>
      <c r="G116" s="5">
        <v>2</v>
      </c>
      <c r="H116" s="49" t="s">
        <v>141</v>
      </c>
      <c r="I116" s="5" t="s">
        <v>80</v>
      </c>
      <c r="J116" s="5">
        <v>235000</v>
      </c>
      <c r="L116" s="5">
        <v>7</v>
      </c>
      <c r="M116" s="48" t="s">
        <v>138</v>
      </c>
      <c r="Z116" s="5">
        <f t="shared" si="67"/>
        <v>2</v>
      </c>
      <c r="AA116" s="5">
        <f t="shared" si="68"/>
        <v>0</v>
      </c>
      <c r="AB116" s="5">
        <f t="shared" si="69"/>
        <v>0</v>
      </c>
      <c r="AC116" s="5">
        <f t="shared" si="70"/>
        <v>0</v>
      </c>
      <c r="AD116" s="5">
        <f t="shared" si="71"/>
        <v>0</v>
      </c>
      <c r="AE116" s="5">
        <f t="shared" si="72"/>
        <v>0</v>
      </c>
      <c r="AF116" s="5">
        <f t="shared" si="73"/>
        <v>0</v>
      </c>
      <c r="AG116" s="5">
        <f t="shared" si="74"/>
        <v>235000</v>
      </c>
      <c r="AH116" s="5">
        <f t="shared" si="75"/>
        <v>0</v>
      </c>
      <c r="AI116" s="5">
        <f t="shared" si="76"/>
        <v>0</v>
      </c>
      <c r="AJ116" s="5">
        <f t="shared" si="77"/>
        <v>0</v>
      </c>
      <c r="AK116" s="5">
        <f t="shared" si="78"/>
        <v>0</v>
      </c>
      <c r="AL116" s="5">
        <f t="shared" si="66"/>
        <v>0</v>
      </c>
      <c r="AN116" s="5">
        <f t="shared" si="79"/>
        <v>7</v>
      </c>
    </row>
    <row r="117" spans="3:40" s="5" customFormat="1" x14ac:dyDescent="0.55000000000000004">
      <c r="C117" s="5">
        <v>0</v>
      </c>
      <c r="D117" s="5">
        <v>1</v>
      </c>
      <c r="E117" s="5">
        <v>0</v>
      </c>
      <c r="G117" s="5">
        <v>1</v>
      </c>
      <c r="H117" s="49" t="s">
        <v>141</v>
      </c>
      <c r="I117" s="5" t="s">
        <v>134</v>
      </c>
      <c r="J117" s="5">
        <v>125000</v>
      </c>
      <c r="L117" s="5">
        <v>7</v>
      </c>
      <c r="M117" s="48" t="s">
        <v>296</v>
      </c>
      <c r="Z117" s="5">
        <f t="shared" si="67"/>
        <v>1</v>
      </c>
      <c r="AA117" s="5">
        <f t="shared" si="68"/>
        <v>0</v>
      </c>
      <c r="AB117" s="5">
        <f t="shared" si="69"/>
        <v>0</v>
      </c>
      <c r="AC117" s="5">
        <f t="shared" si="70"/>
        <v>0</v>
      </c>
      <c r="AD117" s="5">
        <f t="shared" si="71"/>
        <v>0</v>
      </c>
      <c r="AE117" s="5">
        <f t="shared" si="72"/>
        <v>0</v>
      </c>
      <c r="AF117" s="5">
        <f t="shared" si="73"/>
        <v>0</v>
      </c>
      <c r="AG117" s="5">
        <f t="shared" si="74"/>
        <v>125000</v>
      </c>
      <c r="AH117" s="5">
        <f t="shared" si="75"/>
        <v>0</v>
      </c>
      <c r="AI117" s="5">
        <f t="shared" si="76"/>
        <v>0</v>
      </c>
      <c r="AJ117" s="5">
        <f t="shared" si="77"/>
        <v>0</v>
      </c>
      <c r="AK117" s="5">
        <f t="shared" si="78"/>
        <v>0</v>
      </c>
      <c r="AL117" s="5">
        <f t="shared" si="66"/>
        <v>0</v>
      </c>
      <c r="AN117" s="5">
        <f t="shared" si="79"/>
        <v>7</v>
      </c>
    </row>
    <row r="118" spans="3:40" s="5" customFormat="1" x14ac:dyDescent="0.55000000000000004">
      <c r="D118" s="15">
        <v>1</v>
      </c>
      <c r="G118" s="15">
        <v>1</v>
      </c>
      <c r="H118" s="49" t="s">
        <v>141</v>
      </c>
      <c r="I118" s="15" t="s">
        <v>25</v>
      </c>
      <c r="J118" s="15">
        <v>50000</v>
      </c>
      <c r="L118" s="15">
        <v>7</v>
      </c>
      <c r="M118" s="48" t="s">
        <v>220</v>
      </c>
      <c r="Z118" s="15">
        <f t="shared" si="67"/>
        <v>1</v>
      </c>
      <c r="AA118" s="15">
        <f t="shared" si="68"/>
        <v>0</v>
      </c>
      <c r="AC118" s="15">
        <f t="shared" si="70"/>
        <v>0</v>
      </c>
      <c r="AG118" s="15">
        <f t="shared" si="74"/>
        <v>50000</v>
      </c>
      <c r="AH118" s="15">
        <f t="shared" si="75"/>
        <v>0</v>
      </c>
      <c r="AK118" s="15">
        <f t="shared" si="78"/>
        <v>0</v>
      </c>
      <c r="AN118" s="15">
        <f t="shared" si="79"/>
        <v>7</v>
      </c>
    </row>
    <row r="119" spans="3:40" s="5" customFormat="1" ht="14.7" thickBot="1" x14ac:dyDescent="0.6">
      <c r="C119" s="5">
        <v>0</v>
      </c>
      <c r="D119" s="5">
        <v>0.2</v>
      </c>
      <c r="E119" s="5">
        <v>0.8</v>
      </c>
      <c r="G119" s="5">
        <v>1</v>
      </c>
      <c r="H119" s="52">
        <v>24</v>
      </c>
      <c r="I119" s="53" t="s">
        <v>17</v>
      </c>
      <c r="J119" s="53"/>
      <c r="K119" s="53">
        <f>$K$6*$I$4*H119</f>
        <v>46080</v>
      </c>
      <c r="L119" s="53">
        <v>9</v>
      </c>
      <c r="M119" s="63" t="s">
        <v>210</v>
      </c>
      <c r="Z119" s="5">
        <f t="shared" si="67"/>
        <v>1</v>
      </c>
      <c r="AA119" s="5">
        <f t="shared" si="68"/>
        <v>0</v>
      </c>
      <c r="AB119" s="5">
        <f t="shared" si="69"/>
        <v>0</v>
      </c>
      <c r="AC119" s="5">
        <f t="shared" si="70"/>
        <v>0</v>
      </c>
      <c r="AD119" s="5">
        <f t="shared" si="71"/>
        <v>0</v>
      </c>
      <c r="AE119" s="5">
        <f t="shared" si="72"/>
        <v>0</v>
      </c>
      <c r="AF119" s="5">
        <f t="shared" si="73"/>
        <v>0</v>
      </c>
      <c r="AG119" s="5">
        <f t="shared" si="74"/>
        <v>0</v>
      </c>
      <c r="AH119" s="5">
        <f t="shared" si="75"/>
        <v>9216</v>
      </c>
      <c r="AI119" s="5">
        <f t="shared" si="76"/>
        <v>0</v>
      </c>
      <c r="AJ119" s="5">
        <f t="shared" si="77"/>
        <v>36864</v>
      </c>
      <c r="AK119" s="5">
        <f t="shared" si="78"/>
        <v>0</v>
      </c>
      <c r="AL119" s="5">
        <f t="shared" si="66"/>
        <v>0</v>
      </c>
      <c r="AN119" s="5">
        <f t="shared" si="79"/>
        <v>9</v>
      </c>
    </row>
    <row r="120" spans="3:40" s="5" customFormat="1" ht="14.7" thickBot="1" x14ac:dyDescent="0.6">
      <c r="Z120" s="5">
        <f t="shared" si="67"/>
        <v>0</v>
      </c>
      <c r="AA120" s="5">
        <f t="shared" si="68"/>
        <v>0</v>
      </c>
      <c r="AB120" s="5">
        <f t="shared" si="69"/>
        <v>0</v>
      </c>
      <c r="AC120" s="5">
        <f t="shared" si="70"/>
        <v>0</v>
      </c>
      <c r="AD120" s="5">
        <f t="shared" si="71"/>
        <v>0</v>
      </c>
      <c r="AE120" s="5">
        <f t="shared" si="72"/>
        <v>0</v>
      </c>
      <c r="AF120" s="5">
        <f t="shared" si="73"/>
        <v>0</v>
      </c>
      <c r="AG120" s="5">
        <f t="shared" si="74"/>
        <v>0</v>
      </c>
      <c r="AH120" s="5">
        <f t="shared" si="75"/>
        <v>0</v>
      </c>
      <c r="AI120" s="5">
        <f t="shared" si="76"/>
        <v>0</v>
      </c>
      <c r="AJ120" s="5">
        <f t="shared" si="77"/>
        <v>0</v>
      </c>
      <c r="AK120" s="5">
        <f t="shared" si="78"/>
        <v>0</v>
      </c>
      <c r="AL120" s="5">
        <f t="shared" si="66"/>
        <v>0</v>
      </c>
      <c r="AN120" s="5">
        <f t="shared" si="79"/>
        <v>0</v>
      </c>
    </row>
    <row r="121" spans="3:40" s="5" customFormat="1" x14ac:dyDescent="0.55000000000000004">
      <c r="H121" s="64" t="s">
        <v>95</v>
      </c>
      <c r="I121" s="45"/>
      <c r="J121" s="45"/>
      <c r="K121" s="45"/>
      <c r="L121" s="45"/>
      <c r="M121" s="55"/>
      <c r="Z121" s="5">
        <f t="shared" si="67"/>
        <v>0</v>
      </c>
      <c r="AA121" s="5">
        <f t="shared" si="68"/>
        <v>0</v>
      </c>
      <c r="AB121" s="5">
        <f t="shared" si="69"/>
        <v>0</v>
      </c>
      <c r="AC121" s="5">
        <f t="shared" si="70"/>
        <v>0</v>
      </c>
      <c r="AD121" s="5">
        <f t="shared" si="71"/>
        <v>0</v>
      </c>
      <c r="AE121" s="5">
        <f t="shared" si="72"/>
        <v>0</v>
      </c>
      <c r="AF121" s="5">
        <f t="shared" si="73"/>
        <v>0</v>
      </c>
      <c r="AG121" s="5">
        <f t="shared" si="74"/>
        <v>0</v>
      </c>
      <c r="AH121" s="5">
        <f t="shared" si="75"/>
        <v>0</v>
      </c>
      <c r="AI121" s="5">
        <f t="shared" si="76"/>
        <v>0</v>
      </c>
      <c r="AJ121" s="5">
        <f t="shared" si="77"/>
        <v>0</v>
      </c>
      <c r="AK121" s="5">
        <f t="shared" si="78"/>
        <v>0</v>
      </c>
      <c r="AL121" s="5">
        <f t="shared" si="66"/>
        <v>0</v>
      </c>
      <c r="AN121" s="5">
        <f t="shared" si="79"/>
        <v>0</v>
      </c>
    </row>
    <row r="122" spans="3:40" s="5" customFormat="1" x14ac:dyDescent="0.55000000000000004">
      <c r="C122" s="5">
        <v>0</v>
      </c>
      <c r="D122" s="5">
        <v>1</v>
      </c>
      <c r="E122" s="5">
        <v>0</v>
      </c>
      <c r="G122" s="5">
        <v>3</v>
      </c>
      <c r="H122" s="49" t="s">
        <v>140</v>
      </c>
      <c r="I122" s="5" t="s">
        <v>95</v>
      </c>
      <c r="J122" s="5">
        <v>800000</v>
      </c>
      <c r="L122" s="5">
        <v>9</v>
      </c>
      <c r="M122" s="48"/>
      <c r="Z122" s="5">
        <f t="shared" si="67"/>
        <v>3</v>
      </c>
      <c r="AA122" s="5">
        <f t="shared" si="68"/>
        <v>0</v>
      </c>
      <c r="AB122" s="5">
        <f t="shared" si="69"/>
        <v>0</v>
      </c>
      <c r="AC122" s="5">
        <f t="shared" si="70"/>
        <v>0</v>
      </c>
      <c r="AD122" s="5">
        <f t="shared" si="71"/>
        <v>0</v>
      </c>
      <c r="AE122" s="5">
        <f t="shared" si="72"/>
        <v>0</v>
      </c>
      <c r="AF122" s="5">
        <f t="shared" si="73"/>
        <v>0</v>
      </c>
      <c r="AG122" s="5">
        <f t="shared" si="74"/>
        <v>800000</v>
      </c>
      <c r="AH122" s="5">
        <f t="shared" si="75"/>
        <v>0</v>
      </c>
      <c r="AI122" s="5">
        <f t="shared" si="76"/>
        <v>0</v>
      </c>
      <c r="AJ122" s="5">
        <f t="shared" si="77"/>
        <v>0</v>
      </c>
      <c r="AK122" s="5">
        <f t="shared" si="78"/>
        <v>0</v>
      </c>
      <c r="AL122" s="5">
        <f t="shared" si="66"/>
        <v>0</v>
      </c>
      <c r="AN122" s="5">
        <f t="shared" si="79"/>
        <v>9</v>
      </c>
    </row>
    <row r="123" spans="3:40" s="5" customFormat="1" x14ac:dyDescent="0.55000000000000004">
      <c r="C123" s="5">
        <v>0</v>
      </c>
      <c r="D123" s="5">
        <v>1</v>
      </c>
      <c r="E123" s="5">
        <v>0</v>
      </c>
      <c r="G123" s="5">
        <v>3</v>
      </c>
      <c r="H123" s="49"/>
      <c r="I123" s="5" t="s">
        <v>93</v>
      </c>
      <c r="J123" s="5">
        <v>90000</v>
      </c>
      <c r="L123" s="5">
        <v>9</v>
      </c>
      <c r="M123" s="48" t="s">
        <v>136</v>
      </c>
      <c r="Z123" s="5">
        <f t="shared" si="67"/>
        <v>3</v>
      </c>
      <c r="AA123" s="5">
        <f t="shared" si="68"/>
        <v>0</v>
      </c>
      <c r="AB123" s="5">
        <f t="shared" si="69"/>
        <v>0</v>
      </c>
      <c r="AC123" s="5">
        <f t="shared" si="70"/>
        <v>0</v>
      </c>
      <c r="AD123" s="5">
        <f t="shared" si="71"/>
        <v>0</v>
      </c>
      <c r="AE123" s="5">
        <f t="shared" si="72"/>
        <v>0</v>
      </c>
      <c r="AF123" s="5">
        <f t="shared" si="73"/>
        <v>0</v>
      </c>
      <c r="AG123" s="5">
        <f t="shared" si="74"/>
        <v>90000</v>
      </c>
      <c r="AH123" s="5">
        <f t="shared" si="75"/>
        <v>0</v>
      </c>
      <c r="AI123" s="5">
        <f t="shared" si="76"/>
        <v>0</v>
      </c>
      <c r="AJ123" s="5">
        <f t="shared" si="77"/>
        <v>0</v>
      </c>
      <c r="AK123" s="5">
        <f t="shared" si="78"/>
        <v>0</v>
      </c>
      <c r="AL123" s="5">
        <f t="shared" si="66"/>
        <v>0</v>
      </c>
      <c r="AN123" s="5">
        <f t="shared" si="79"/>
        <v>9</v>
      </c>
    </row>
    <row r="124" spans="3:40" s="5" customFormat="1" ht="14.7" thickBot="1" x14ac:dyDescent="0.6">
      <c r="C124" s="5">
        <v>0</v>
      </c>
      <c r="D124" s="5">
        <v>0.2</v>
      </c>
      <c r="E124" s="5">
        <v>0.8</v>
      </c>
      <c r="G124" s="5">
        <v>3</v>
      </c>
      <c r="H124" s="52">
        <v>12</v>
      </c>
      <c r="I124" s="53" t="s">
        <v>17</v>
      </c>
      <c r="J124" s="53"/>
      <c r="K124" s="53">
        <f>$K$6*$I$4*H124</f>
        <v>23040</v>
      </c>
      <c r="L124" s="53">
        <v>9</v>
      </c>
      <c r="M124" s="54"/>
      <c r="Z124" s="5">
        <f t="shared" si="67"/>
        <v>3</v>
      </c>
      <c r="AA124" s="5">
        <f t="shared" si="68"/>
        <v>0</v>
      </c>
      <c r="AB124" s="5">
        <f t="shared" si="69"/>
        <v>0</v>
      </c>
      <c r="AC124" s="5">
        <f t="shared" si="70"/>
        <v>0</v>
      </c>
      <c r="AD124" s="5">
        <f t="shared" si="71"/>
        <v>0</v>
      </c>
      <c r="AE124" s="5">
        <f t="shared" si="72"/>
        <v>0</v>
      </c>
      <c r="AF124" s="5">
        <f t="shared" si="73"/>
        <v>0</v>
      </c>
      <c r="AG124" s="5">
        <f t="shared" si="74"/>
        <v>0</v>
      </c>
      <c r="AH124" s="5">
        <f t="shared" si="75"/>
        <v>4608</v>
      </c>
      <c r="AI124" s="5">
        <f t="shared" si="76"/>
        <v>0</v>
      </c>
      <c r="AJ124" s="5">
        <f t="shared" si="77"/>
        <v>18432</v>
      </c>
      <c r="AK124" s="5">
        <f t="shared" si="78"/>
        <v>0</v>
      </c>
      <c r="AL124" s="5">
        <f t="shared" si="66"/>
        <v>0</v>
      </c>
      <c r="AN124" s="5">
        <f t="shared" si="79"/>
        <v>9</v>
      </c>
    </row>
    <row r="125" spans="3:40" s="5" customFormat="1" ht="14.7" thickBot="1" x14ac:dyDescent="0.6">
      <c r="H125" s="32"/>
      <c r="Z125" s="5">
        <f t="shared" si="67"/>
        <v>0</v>
      </c>
      <c r="AA125" s="5">
        <f t="shared" si="68"/>
        <v>0</v>
      </c>
      <c r="AB125" s="5">
        <f t="shared" si="69"/>
        <v>0</v>
      </c>
      <c r="AC125" s="5">
        <f t="shared" si="70"/>
        <v>0</v>
      </c>
      <c r="AD125" s="5">
        <f t="shared" si="71"/>
        <v>0</v>
      </c>
      <c r="AE125" s="5">
        <f t="shared" si="72"/>
        <v>0</v>
      </c>
      <c r="AF125" s="5">
        <f t="shared" si="73"/>
        <v>0</v>
      </c>
      <c r="AG125" s="5">
        <f t="shared" si="74"/>
        <v>0</v>
      </c>
      <c r="AH125" s="5">
        <f t="shared" si="75"/>
        <v>0</v>
      </c>
      <c r="AI125" s="5">
        <f t="shared" si="76"/>
        <v>0</v>
      </c>
      <c r="AJ125" s="5">
        <f t="shared" si="77"/>
        <v>0</v>
      </c>
      <c r="AK125" s="5">
        <f t="shared" si="78"/>
        <v>0</v>
      </c>
      <c r="AL125" s="5">
        <f t="shared" si="66"/>
        <v>0</v>
      </c>
      <c r="AN125" s="5">
        <f t="shared" si="79"/>
        <v>0</v>
      </c>
    </row>
    <row r="126" spans="3:40" s="5" customFormat="1" x14ac:dyDescent="0.55000000000000004">
      <c r="H126" s="58" t="s">
        <v>60</v>
      </c>
      <c r="I126" s="45"/>
      <c r="J126" s="45"/>
      <c r="K126" s="45"/>
      <c r="L126" s="45"/>
      <c r="M126" s="76"/>
      <c r="N126" s="5">
        <f>J127+J128</f>
        <v>1553900</v>
      </c>
      <c r="Z126" s="5">
        <f t="shared" si="67"/>
        <v>0</v>
      </c>
      <c r="AA126" s="5">
        <f t="shared" si="68"/>
        <v>0</v>
      </c>
      <c r="AB126" s="5">
        <f t="shared" si="69"/>
        <v>0</v>
      </c>
      <c r="AC126" s="5">
        <f t="shared" si="70"/>
        <v>0</v>
      </c>
      <c r="AD126" s="5">
        <f t="shared" si="71"/>
        <v>0</v>
      </c>
      <c r="AE126" s="5">
        <f t="shared" si="72"/>
        <v>0</v>
      </c>
      <c r="AF126" s="5">
        <f t="shared" si="73"/>
        <v>0</v>
      </c>
      <c r="AG126" s="5">
        <f t="shared" si="74"/>
        <v>0</v>
      </c>
      <c r="AH126" s="5">
        <f t="shared" si="75"/>
        <v>0</v>
      </c>
      <c r="AI126" s="5">
        <f t="shared" si="76"/>
        <v>0</v>
      </c>
      <c r="AJ126" s="5">
        <f t="shared" si="77"/>
        <v>0</v>
      </c>
      <c r="AK126" s="5">
        <f t="shared" si="78"/>
        <v>0</v>
      </c>
      <c r="AL126" s="5">
        <f t="shared" si="66"/>
        <v>0</v>
      </c>
      <c r="AN126" s="5">
        <f t="shared" ref="AN126:AN165" si="80">L126</f>
        <v>0</v>
      </c>
    </row>
    <row r="127" spans="3:40" s="5" customFormat="1" x14ac:dyDescent="0.55000000000000004">
      <c r="C127" s="5">
        <v>0.2</v>
      </c>
      <c r="D127" s="5">
        <v>0.4</v>
      </c>
      <c r="E127" s="5">
        <v>0.4</v>
      </c>
      <c r="G127" s="5">
        <v>2</v>
      </c>
      <c r="H127" s="49" t="s">
        <v>61</v>
      </c>
      <c r="I127" s="5" t="s">
        <v>62</v>
      </c>
      <c r="J127" s="5">
        <v>1328900</v>
      </c>
      <c r="L127" s="5">
        <v>5</v>
      </c>
      <c r="M127" s="48" t="s">
        <v>297</v>
      </c>
      <c r="Z127" s="5">
        <f t="shared" si="67"/>
        <v>2</v>
      </c>
      <c r="AA127" s="5">
        <f t="shared" si="68"/>
        <v>0</v>
      </c>
      <c r="AB127" s="5">
        <f t="shared" si="69"/>
        <v>0</v>
      </c>
      <c r="AC127" s="5">
        <f t="shared" si="70"/>
        <v>0</v>
      </c>
      <c r="AD127" s="5">
        <f t="shared" si="71"/>
        <v>0</v>
      </c>
      <c r="AE127" s="5">
        <f t="shared" si="72"/>
        <v>265780</v>
      </c>
      <c r="AF127" s="5">
        <f t="shared" si="73"/>
        <v>0</v>
      </c>
      <c r="AG127" s="5">
        <f t="shared" si="74"/>
        <v>531560</v>
      </c>
      <c r="AH127" s="5">
        <f t="shared" si="75"/>
        <v>0</v>
      </c>
      <c r="AI127" s="5">
        <f t="shared" si="76"/>
        <v>531560</v>
      </c>
      <c r="AJ127" s="5">
        <f t="shared" si="77"/>
        <v>0</v>
      </c>
      <c r="AK127" s="5">
        <f t="shared" si="78"/>
        <v>0</v>
      </c>
      <c r="AL127" s="5">
        <f t="shared" si="66"/>
        <v>0</v>
      </c>
      <c r="AN127" s="5">
        <f t="shared" si="80"/>
        <v>5</v>
      </c>
    </row>
    <row r="128" spans="3:40" s="5" customFormat="1" x14ac:dyDescent="0.55000000000000004">
      <c r="C128" s="5">
        <v>0.6</v>
      </c>
      <c r="D128" s="5">
        <v>0.4</v>
      </c>
      <c r="E128" s="5">
        <v>0</v>
      </c>
      <c r="G128" s="5">
        <v>2</v>
      </c>
      <c r="H128" s="49"/>
      <c r="I128" s="5" t="s">
        <v>79</v>
      </c>
      <c r="J128" s="5">
        <f>1500*150</f>
        <v>225000</v>
      </c>
      <c r="L128" s="5">
        <v>9</v>
      </c>
      <c r="M128" s="48" t="s">
        <v>192</v>
      </c>
      <c r="Z128" s="5">
        <f t="shared" si="67"/>
        <v>2</v>
      </c>
      <c r="AA128" s="5">
        <f t="shared" si="68"/>
        <v>0</v>
      </c>
      <c r="AB128" s="5">
        <f t="shared" si="69"/>
        <v>0</v>
      </c>
      <c r="AC128" s="5">
        <f t="shared" si="70"/>
        <v>0</v>
      </c>
      <c r="AD128" s="5">
        <f t="shared" si="71"/>
        <v>0</v>
      </c>
      <c r="AE128" s="5">
        <f t="shared" si="72"/>
        <v>135000</v>
      </c>
      <c r="AF128" s="5">
        <f t="shared" si="73"/>
        <v>0</v>
      </c>
      <c r="AG128" s="5">
        <f t="shared" si="74"/>
        <v>90000</v>
      </c>
      <c r="AH128" s="5">
        <f t="shared" si="75"/>
        <v>0</v>
      </c>
      <c r="AI128" s="5">
        <f t="shared" si="76"/>
        <v>0</v>
      </c>
      <c r="AJ128" s="5">
        <f t="shared" si="77"/>
        <v>0</v>
      </c>
      <c r="AK128" s="5">
        <f t="shared" si="78"/>
        <v>0</v>
      </c>
      <c r="AL128" s="5">
        <f t="shared" si="66"/>
        <v>0</v>
      </c>
      <c r="AN128" s="5">
        <f t="shared" si="80"/>
        <v>9</v>
      </c>
    </row>
    <row r="129" spans="3:40" s="5" customFormat="1" x14ac:dyDescent="0.55000000000000004">
      <c r="C129" s="5">
        <v>0.3</v>
      </c>
      <c r="D129" s="5">
        <v>0.5</v>
      </c>
      <c r="E129" s="5">
        <v>0.2</v>
      </c>
      <c r="G129" s="5">
        <v>2</v>
      </c>
      <c r="H129" s="60">
        <f>K129/60/40</f>
        <v>54.971999999999994</v>
      </c>
      <c r="I129" s="5" t="s">
        <v>17</v>
      </c>
      <c r="K129" s="14">
        <f>1.527*$I$4*$I$6</f>
        <v>131932.79999999999</v>
      </c>
      <c r="L129" s="5">
        <v>5</v>
      </c>
      <c r="M129" s="48" t="s">
        <v>122</v>
      </c>
      <c r="Z129" s="5">
        <f t="shared" si="67"/>
        <v>2</v>
      </c>
      <c r="AA129" s="5">
        <f t="shared" si="68"/>
        <v>0</v>
      </c>
      <c r="AB129" s="5">
        <f t="shared" si="69"/>
        <v>0</v>
      </c>
      <c r="AC129" s="5">
        <f t="shared" si="70"/>
        <v>0</v>
      </c>
      <c r="AD129" s="5">
        <f t="shared" si="71"/>
        <v>0</v>
      </c>
      <c r="AE129" s="5">
        <f t="shared" si="72"/>
        <v>0</v>
      </c>
      <c r="AF129" s="5">
        <f t="shared" si="73"/>
        <v>39579.839999999997</v>
      </c>
      <c r="AG129" s="5">
        <f t="shared" si="74"/>
        <v>0</v>
      </c>
      <c r="AH129" s="5">
        <f t="shared" si="75"/>
        <v>65966.399999999994</v>
      </c>
      <c r="AI129" s="5">
        <f t="shared" si="76"/>
        <v>0</v>
      </c>
      <c r="AJ129" s="5">
        <f t="shared" si="77"/>
        <v>26386.559999999998</v>
      </c>
      <c r="AK129" s="5">
        <f t="shared" si="78"/>
        <v>0</v>
      </c>
      <c r="AL129" s="5">
        <f t="shared" si="66"/>
        <v>0</v>
      </c>
      <c r="AN129" s="5">
        <f t="shared" si="80"/>
        <v>5</v>
      </c>
    </row>
    <row r="130" spans="3:40" s="5" customFormat="1" x14ac:dyDescent="0.55000000000000004">
      <c r="C130" s="5">
        <v>0.2</v>
      </c>
      <c r="D130" s="5">
        <v>0.4</v>
      </c>
      <c r="E130" s="5">
        <v>0.4</v>
      </c>
      <c r="G130" s="5">
        <v>1</v>
      </c>
      <c r="H130" s="49" t="s">
        <v>64</v>
      </c>
      <c r="I130" s="5" t="s">
        <v>63</v>
      </c>
      <c r="J130" s="5">
        <f>36*13900</f>
        <v>500400</v>
      </c>
      <c r="L130" s="5">
        <v>9</v>
      </c>
      <c r="M130" s="48" t="s">
        <v>125</v>
      </c>
      <c r="Z130" s="5">
        <f t="shared" si="67"/>
        <v>1</v>
      </c>
      <c r="AA130" s="5">
        <f t="shared" si="68"/>
        <v>0</v>
      </c>
      <c r="AB130" s="5">
        <f t="shared" si="69"/>
        <v>0</v>
      </c>
      <c r="AC130" s="5">
        <f t="shared" si="70"/>
        <v>0</v>
      </c>
      <c r="AD130" s="5">
        <f t="shared" si="71"/>
        <v>0</v>
      </c>
      <c r="AE130" s="5">
        <f t="shared" si="72"/>
        <v>100080</v>
      </c>
      <c r="AF130" s="5">
        <f t="shared" si="73"/>
        <v>0</v>
      </c>
      <c r="AG130" s="5">
        <f t="shared" si="74"/>
        <v>200160</v>
      </c>
      <c r="AH130" s="5">
        <f t="shared" si="75"/>
        <v>0</v>
      </c>
      <c r="AI130" s="5">
        <f t="shared" si="76"/>
        <v>200160</v>
      </c>
      <c r="AJ130" s="5">
        <f t="shared" si="77"/>
        <v>0</v>
      </c>
      <c r="AK130" s="5">
        <f t="shared" si="78"/>
        <v>0</v>
      </c>
      <c r="AL130" s="5">
        <f t="shared" si="66"/>
        <v>0</v>
      </c>
      <c r="AN130" s="5">
        <f t="shared" si="80"/>
        <v>9</v>
      </c>
    </row>
    <row r="131" spans="3:40" s="5" customFormat="1" x14ac:dyDescent="0.55000000000000004">
      <c r="C131" s="5">
        <v>0.6</v>
      </c>
      <c r="D131" s="5">
        <v>0.4</v>
      </c>
      <c r="E131" s="5">
        <v>0</v>
      </c>
      <c r="G131" s="5">
        <v>1</v>
      </c>
      <c r="H131" s="49"/>
      <c r="I131" s="5" t="s">
        <v>79</v>
      </c>
      <c r="J131" s="5">
        <f>20*1500</f>
        <v>30000</v>
      </c>
      <c r="L131" s="5">
        <v>5</v>
      </c>
      <c r="M131" s="48" t="s">
        <v>122</v>
      </c>
      <c r="Z131" s="5">
        <f t="shared" si="67"/>
        <v>1</v>
      </c>
      <c r="AA131" s="5">
        <f t="shared" si="68"/>
        <v>0</v>
      </c>
      <c r="AB131" s="5">
        <f t="shared" si="69"/>
        <v>0</v>
      </c>
      <c r="AC131" s="5">
        <f t="shared" si="70"/>
        <v>0</v>
      </c>
      <c r="AD131" s="5">
        <f t="shared" si="71"/>
        <v>0</v>
      </c>
      <c r="AE131" s="5">
        <f t="shared" si="72"/>
        <v>18000</v>
      </c>
      <c r="AF131" s="5">
        <f t="shared" si="73"/>
        <v>0</v>
      </c>
      <c r="AG131" s="5">
        <f t="shared" si="74"/>
        <v>12000</v>
      </c>
      <c r="AH131" s="5">
        <f t="shared" si="75"/>
        <v>0</v>
      </c>
      <c r="AI131" s="5">
        <f t="shared" si="76"/>
        <v>0</v>
      </c>
      <c r="AJ131" s="5">
        <f t="shared" si="77"/>
        <v>0</v>
      </c>
      <c r="AK131" s="5">
        <f t="shared" si="78"/>
        <v>0</v>
      </c>
      <c r="AL131" s="5">
        <f t="shared" si="66"/>
        <v>0</v>
      </c>
      <c r="AN131" s="5">
        <f t="shared" si="80"/>
        <v>5</v>
      </c>
    </row>
    <row r="132" spans="3:40" s="5" customFormat="1" x14ac:dyDescent="0.55000000000000004">
      <c r="C132" s="5">
        <v>0.3</v>
      </c>
      <c r="D132" s="5">
        <v>0.5</v>
      </c>
      <c r="E132" s="5">
        <v>0.2</v>
      </c>
      <c r="G132" s="5">
        <v>1</v>
      </c>
      <c r="H132" s="60">
        <f>K132/60/40</f>
        <v>18</v>
      </c>
      <c r="I132" s="5" t="s">
        <v>17</v>
      </c>
      <c r="K132" s="5">
        <f>0.5*$I$4*$I$6</f>
        <v>43200</v>
      </c>
      <c r="L132" s="5">
        <v>9</v>
      </c>
      <c r="M132" s="48" t="s">
        <v>122</v>
      </c>
      <c r="Z132" s="5">
        <f t="shared" si="67"/>
        <v>1</v>
      </c>
      <c r="AA132" s="5">
        <f t="shared" si="68"/>
        <v>0</v>
      </c>
      <c r="AB132" s="5">
        <f t="shared" si="69"/>
        <v>0</v>
      </c>
      <c r="AC132" s="5">
        <f t="shared" si="70"/>
        <v>0</v>
      </c>
      <c r="AD132" s="5">
        <f t="shared" si="71"/>
        <v>0</v>
      </c>
      <c r="AE132" s="5">
        <f t="shared" si="72"/>
        <v>0</v>
      </c>
      <c r="AF132" s="5">
        <f t="shared" si="73"/>
        <v>12960</v>
      </c>
      <c r="AG132" s="5">
        <f t="shared" si="74"/>
        <v>0</v>
      </c>
      <c r="AH132" s="5">
        <f t="shared" si="75"/>
        <v>21600</v>
      </c>
      <c r="AI132" s="5">
        <f t="shared" si="76"/>
        <v>0</v>
      </c>
      <c r="AJ132" s="5">
        <f t="shared" si="77"/>
        <v>8640</v>
      </c>
      <c r="AK132" s="5">
        <f t="shared" si="78"/>
        <v>0</v>
      </c>
      <c r="AL132" s="5">
        <f t="shared" si="66"/>
        <v>0</v>
      </c>
      <c r="AN132" s="5">
        <f t="shared" si="80"/>
        <v>9</v>
      </c>
    </row>
    <row r="133" spans="3:40" s="5" customFormat="1" x14ac:dyDescent="0.55000000000000004">
      <c r="C133" s="5">
        <v>0.2</v>
      </c>
      <c r="D133" s="5">
        <v>0.4</v>
      </c>
      <c r="E133" s="5">
        <v>0.4</v>
      </c>
      <c r="G133" s="5">
        <v>3</v>
      </c>
      <c r="H133" s="49" t="s">
        <v>66</v>
      </c>
      <c r="I133" s="5" t="s">
        <v>123</v>
      </c>
      <c r="J133" s="5">
        <f>J130</f>
        <v>500400</v>
      </c>
      <c r="L133" s="5">
        <v>5</v>
      </c>
      <c r="M133" s="48" t="s">
        <v>127</v>
      </c>
      <c r="Z133" s="5">
        <f t="shared" si="67"/>
        <v>3</v>
      </c>
      <c r="AA133" s="5">
        <f t="shared" si="68"/>
        <v>0</v>
      </c>
      <c r="AB133" s="5">
        <f t="shared" si="69"/>
        <v>0</v>
      </c>
      <c r="AC133" s="5">
        <f t="shared" si="70"/>
        <v>0</v>
      </c>
      <c r="AD133" s="5">
        <f t="shared" si="71"/>
        <v>0</v>
      </c>
      <c r="AE133" s="5">
        <f t="shared" si="72"/>
        <v>100080</v>
      </c>
      <c r="AF133" s="5">
        <f t="shared" si="73"/>
        <v>0</v>
      </c>
      <c r="AG133" s="5">
        <f t="shared" si="74"/>
        <v>200160</v>
      </c>
      <c r="AH133" s="5">
        <f t="shared" si="75"/>
        <v>0</v>
      </c>
      <c r="AI133" s="5">
        <f t="shared" si="76"/>
        <v>200160</v>
      </c>
      <c r="AJ133" s="5">
        <f t="shared" si="77"/>
        <v>0</v>
      </c>
      <c r="AK133" s="5">
        <f t="shared" si="78"/>
        <v>0</v>
      </c>
      <c r="AL133" s="5">
        <f t="shared" si="66"/>
        <v>0</v>
      </c>
      <c r="AN133" s="5">
        <f t="shared" si="80"/>
        <v>5</v>
      </c>
    </row>
    <row r="134" spans="3:40" s="5" customFormat="1" x14ac:dyDescent="0.55000000000000004">
      <c r="C134" s="5">
        <v>0.6</v>
      </c>
      <c r="D134" s="5">
        <v>0.4</v>
      </c>
      <c r="E134" s="5">
        <v>0</v>
      </c>
      <c r="G134" s="5">
        <v>3</v>
      </c>
      <c r="H134" s="49"/>
      <c r="I134" s="5" t="s">
        <v>79</v>
      </c>
      <c r="J134" s="5">
        <f>20*1500*2</f>
        <v>60000</v>
      </c>
      <c r="L134" s="5">
        <v>9</v>
      </c>
      <c r="M134" s="48"/>
      <c r="Z134" s="5">
        <f t="shared" si="67"/>
        <v>3</v>
      </c>
      <c r="AA134" s="5">
        <f t="shared" si="68"/>
        <v>0</v>
      </c>
      <c r="AB134" s="5">
        <f t="shared" si="69"/>
        <v>0</v>
      </c>
      <c r="AC134" s="5">
        <f t="shared" si="70"/>
        <v>0</v>
      </c>
      <c r="AD134" s="5">
        <f t="shared" si="71"/>
        <v>0</v>
      </c>
      <c r="AE134" s="5">
        <f t="shared" si="72"/>
        <v>36000</v>
      </c>
      <c r="AF134" s="5">
        <f t="shared" si="73"/>
        <v>0</v>
      </c>
      <c r="AG134" s="5">
        <f t="shared" si="74"/>
        <v>24000</v>
      </c>
      <c r="AH134" s="5">
        <f t="shared" si="75"/>
        <v>0</v>
      </c>
      <c r="AI134" s="5">
        <f t="shared" si="76"/>
        <v>0</v>
      </c>
      <c r="AJ134" s="5">
        <f t="shared" si="77"/>
        <v>0</v>
      </c>
      <c r="AK134" s="5">
        <f t="shared" si="78"/>
        <v>0</v>
      </c>
      <c r="AL134" s="5">
        <f t="shared" si="66"/>
        <v>0</v>
      </c>
      <c r="AN134" s="5">
        <f t="shared" si="80"/>
        <v>9</v>
      </c>
    </row>
    <row r="135" spans="3:40" s="5" customFormat="1" x14ac:dyDescent="0.55000000000000004">
      <c r="C135" s="5">
        <v>0.3</v>
      </c>
      <c r="D135" s="5">
        <v>0.5</v>
      </c>
      <c r="E135" s="5">
        <v>0.2</v>
      </c>
      <c r="G135" s="5">
        <v>3</v>
      </c>
      <c r="H135" s="60">
        <f>K135/60/40</f>
        <v>18</v>
      </c>
      <c r="I135" s="5" t="s">
        <v>17</v>
      </c>
      <c r="K135" s="5">
        <f>0.5*$I$4*$I$6</f>
        <v>43200</v>
      </c>
      <c r="L135" s="5">
        <v>9</v>
      </c>
      <c r="M135" s="48" t="s">
        <v>122</v>
      </c>
      <c r="Z135" s="5">
        <f t="shared" si="67"/>
        <v>3</v>
      </c>
      <c r="AA135" s="5">
        <f t="shared" si="68"/>
        <v>0</v>
      </c>
      <c r="AB135" s="5">
        <f t="shared" si="69"/>
        <v>0</v>
      </c>
      <c r="AC135" s="5">
        <f t="shared" si="70"/>
        <v>0</v>
      </c>
      <c r="AD135" s="5">
        <f t="shared" si="71"/>
        <v>0</v>
      </c>
      <c r="AE135" s="5">
        <f t="shared" si="72"/>
        <v>0</v>
      </c>
      <c r="AF135" s="5">
        <f t="shared" si="73"/>
        <v>12960</v>
      </c>
      <c r="AG135" s="5">
        <f t="shared" si="74"/>
        <v>0</v>
      </c>
      <c r="AH135" s="5">
        <f t="shared" si="75"/>
        <v>21600</v>
      </c>
      <c r="AI135" s="5">
        <f t="shared" si="76"/>
        <v>0</v>
      </c>
      <c r="AJ135" s="5">
        <f t="shared" si="77"/>
        <v>8640</v>
      </c>
      <c r="AK135" s="5">
        <f t="shared" si="78"/>
        <v>0</v>
      </c>
      <c r="AL135" s="5">
        <f t="shared" si="66"/>
        <v>0</v>
      </c>
      <c r="AN135" s="5">
        <f t="shared" si="80"/>
        <v>9</v>
      </c>
    </row>
    <row r="136" spans="3:40" s="5" customFormat="1" x14ac:dyDescent="0.55000000000000004">
      <c r="C136" s="5">
        <v>0.2</v>
      </c>
      <c r="D136" s="5">
        <v>0.4</v>
      </c>
      <c r="E136" s="5">
        <v>0.4</v>
      </c>
      <c r="G136" s="5">
        <v>3</v>
      </c>
      <c r="H136" s="49" t="s">
        <v>65</v>
      </c>
      <c r="I136" s="5" t="s">
        <v>124</v>
      </c>
      <c r="J136" s="5">
        <f>J133</f>
        <v>500400</v>
      </c>
      <c r="L136" s="5">
        <v>5</v>
      </c>
      <c r="M136" s="48" t="s">
        <v>126</v>
      </c>
      <c r="Z136" s="5">
        <f t="shared" si="67"/>
        <v>3</v>
      </c>
      <c r="AA136" s="5">
        <f t="shared" si="68"/>
        <v>0</v>
      </c>
      <c r="AB136" s="5">
        <f t="shared" si="69"/>
        <v>0</v>
      </c>
      <c r="AC136" s="5">
        <f t="shared" si="70"/>
        <v>0</v>
      </c>
      <c r="AD136" s="5">
        <f t="shared" si="71"/>
        <v>0</v>
      </c>
      <c r="AE136" s="5">
        <f t="shared" si="72"/>
        <v>100080</v>
      </c>
      <c r="AF136" s="5">
        <f t="shared" si="73"/>
        <v>0</v>
      </c>
      <c r="AG136" s="5">
        <f t="shared" si="74"/>
        <v>200160</v>
      </c>
      <c r="AH136" s="5">
        <f t="shared" si="75"/>
        <v>0</v>
      </c>
      <c r="AI136" s="5">
        <f t="shared" si="76"/>
        <v>200160</v>
      </c>
      <c r="AJ136" s="5">
        <f t="shared" si="77"/>
        <v>0</v>
      </c>
      <c r="AK136" s="5">
        <f t="shared" si="78"/>
        <v>0</v>
      </c>
      <c r="AL136" s="5">
        <f t="shared" si="66"/>
        <v>0</v>
      </c>
      <c r="AN136" s="5">
        <f t="shared" si="80"/>
        <v>5</v>
      </c>
    </row>
    <row r="137" spans="3:40" s="5" customFormat="1" x14ac:dyDescent="0.55000000000000004">
      <c r="C137" s="5">
        <v>0.6</v>
      </c>
      <c r="D137" s="5">
        <v>0.4</v>
      </c>
      <c r="E137" s="5">
        <v>0</v>
      </c>
      <c r="G137" s="5">
        <v>3</v>
      </c>
      <c r="H137" s="49"/>
      <c r="I137" s="5" t="s">
        <v>79</v>
      </c>
      <c r="J137" s="5">
        <f>20*1500</f>
        <v>30000</v>
      </c>
      <c r="L137" s="5">
        <v>9</v>
      </c>
      <c r="M137" s="48"/>
      <c r="Z137" s="5">
        <f t="shared" si="67"/>
        <v>3</v>
      </c>
      <c r="AA137" s="5">
        <f t="shared" si="68"/>
        <v>0</v>
      </c>
      <c r="AB137" s="5">
        <f t="shared" si="69"/>
        <v>0</v>
      </c>
      <c r="AC137" s="5">
        <f t="shared" si="70"/>
        <v>0</v>
      </c>
      <c r="AD137" s="5">
        <f t="shared" si="71"/>
        <v>0</v>
      </c>
      <c r="AE137" s="5">
        <f t="shared" si="72"/>
        <v>18000</v>
      </c>
      <c r="AF137" s="5">
        <f t="shared" si="73"/>
        <v>0</v>
      </c>
      <c r="AG137" s="5">
        <f t="shared" si="74"/>
        <v>12000</v>
      </c>
      <c r="AH137" s="5">
        <f t="shared" si="75"/>
        <v>0</v>
      </c>
      <c r="AI137" s="5">
        <f t="shared" si="76"/>
        <v>0</v>
      </c>
      <c r="AJ137" s="5">
        <f t="shared" si="77"/>
        <v>0</v>
      </c>
      <c r="AK137" s="5">
        <f t="shared" si="78"/>
        <v>0</v>
      </c>
      <c r="AL137" s="5">
        <f t="shared" si="66"/>
        <v>0</v>
      </c>
      <c r="AN137" s="5">
        <f t="shared" si="80"/>
        <v>9</v>
      </c>
    </row>
    <row r="138" spans="3:40" s="5" customFormat="1" x14ac:dyDescent="0.55000000000000004">
      <c r="C138" s="5">
        <v>0.3</v>
      </c>
      <c r="D138" s="5">
        <v>0.5</v>
      </c>
      <c r="E138" s="5">
        <v>0.2</v>
      </c>
      <c r="G138" s="5">
        <v>3</v>
      </c>
      <c r="H138" s="60">
        <f>K138/60/40</f>
        <v>18</v>
      </c>
      <c r="I138" s="5" t="s">
        <v>17</v>
      </c>
      <c r="K138" s="5">
        <f>0.5*$I$4*$I$6</f>
        <v>43200</v>
      </c>
      <c r="L138" s="5">
        <v>9</v>
      </c>
      <c r="M138" s="48" t="s">
        <v>122</v>
      </c>
      <c r="Z138" s="5">
        <f t="shared" si="67"/>
        <v>3</v>
      </c>
      <c r="AA138" s="5">
        <f t="shared" si="68"/>
        <v>0</v>
      </c>
      <c r="AB138" s="5">
        <f t="shared" si="69"/>
        <v>0</v>
      </c>
      <c r="AC138" s="5">
        <f t="shared" si="70"/>
        <v>0</v>
      </c>
      <c r="AD138" s="5">
        <f t="shared" si="71"/>
        <v>0</v>
      </c>
      <c r="AE138" s="5">
        <f t="shared" si="72"/>
        <v>0</v>
      </c>
      <c r="AF138" s="5">
        <f t="shared" si="73"/>
        <v>12960</v>
      </c>
      <c r="AG138" s="5">
        <f t="shared" si="74"/>
        <v>0</v>
      </c>
      <c r="AH138" s="5">
        <f t="shared" si="75"/>
        <v>21600</v>
      </c>
      <c r="AI138" s="5">
        <f t="shared" si="76"/>
        <v>0</v>
      </c>
      <c r="AJ138" s="5">
        <f t="shared" si="77"/>
        <v>8640</v>
      </c>
      <c r="AK138" s="5">
        <f t="shared" si="78"/>
        <v>0</v>
      </c>
      <c r="AL138" s="5">
        <f t="shared" si="66"/>
        <v>0</v>
      </c>
      <c r="AN138" s="5">
        <f t="shared" si="80"/>
        <v>9</v>
      </c>
    </row>
    <row r="139" spans="3:40" s="5" customFormat="1" x14ac:dyDescent="0.55000000000000004">
      <c r="G139" s="5">
        <v>4</v>
      </c>
      <c r="H139" s="49" t="s">
        <v>128</v>
      </c>
      <c r="I139" s="5" t="s">
        <v>62</v>
      </c>
      <c r="J139" s="5">
        <v>917400</v>
      </c>
      <c r="L139" s="5">
        <v>5</v>
      </c>
      <c r="M139" s="48" t="s">
        <v>129</v>
      </c>
      <c r="Z139" s="5">
        <f t="shared" si="67"/>
        <v>4</v>
      </c>
      <c r="AA139" s="5">
        <f t="shared" si="68"/>
        <v>0</v>
      </c>
      <c r="AB139" s="5">
        <f t="shared" si="69"/>
        <v>0</v>
      </c>
      <c r="AC139" s="5">
        <f t="shared" si="70"/>
        <v>0</v>
      </c>
      <c r="AD139" s="5">
        <f t="shared" si="71"/>
        <v>0</v>
      </c>
      <c r="AE139" s="5">
        <f t="shared" si="72"/>
        <v>0</v>
      </c>
      <c r="AF139" s="5">
        <f t="shared" si="73"/>
        <v>0</v>
      </c>
      <c r="AG139" s="5">
        <f t="shared" si="74"/>
        <v>0</v>
      </c>
      <c r="AH139" s="5">
        <f t="shared" si="75"/>
        <v>0</v>
      </c>
      <c r="AI139" s="5">
        <f t="shared" si="76"/>
        <v>0</v>
      </c>
      <c r="AJ139" s="5">
        <f t="shared" si="77"/>
        <v>0</v>
      </c>
      <c r="AK139" s="5">
        <f t="shared" si="78"/>
        <v>0</v>
      </c>
      <c r="AL139" s="5">
        <f t="shared" si="66"/>
        <v>0</v>
      </c>
      <c r="AN139" s="5">
        <f t="shared" si="80"/>
        <v>5</v>
      </c>
    </row>
    <row r="140" spans="3:40" s="5" customFormat="1" x14ac:dyDescent="0.55000000000000004">
      <c r="G140" s="5">
        <v>4</v>
      </c>
      <c r="H140" s="49"/>
      <c r="I140" s="5" t="s">
        <v>79</v>
      </c>
      <c r="J140" s="5">
        <f>95*1500</f>
        <v>142500</v>
      </c>
      <c r="L140" s="5">
        <v>9</v>
      </c>
      <c r="M140" s="48"/>
      <c r="Z140" s="5">
        <f t="shared" si="67"/>
        <v>4</v>
      </c>
      <c r="AA140" s="5">
        <f t="shared" si="68"/>
        <v>0</v>
      </c>
      <c r="AB140" s="5">
        <f t="shared" si="69"/>
        <v>0</v>
      </c>
      <c r="AC140" s="5">
        <f t="shared" si="70"/>
        <v>0</v>
      </c>
      <c r="AD140" s="5">
        <f t="shared" si="71"/>
        <v>0</v>
      </c>
      <c r="AE140" s="5">
        <f t="shared" si="72"/>
        <v>0</v>
      </c>
      <c r="AF140" s="5">
        <f t="shared" si="73"/>
        <v>0</v>
      </c>
      <c r="AG140" s="5">
        <f t="shared" si="74"/>
        <v>0</v>
      </c>
      <c r="AH140" s="5">
        <f t="shared" si="75"/>
        <v>0</v>
      </c>
      <c r="AI140" s="5">
        <f t="shared" si="76"/>
        <v>0</v>
      </c>
      <c r="AJ140" s="5">
        <f t="shared" si="77"/>
        <v>0</v>
      </c>
      <c r="AK140" s="5">
        <f t="shared" si="78"/>
        <v>0</v>
      </c>
      <c r="AL140" s="5">
        <f t="shared" si="66"/>
        <v>0</v>
      </c>
      <c r="AN140" s="5">
        <f t="shared" si="80"/>
        <v>9</v>
      </c>
    </row>
    <row r="141" spans="3:40" s="5" customFormat="1" x14ac:dyDescent="0.55000000000000004">
      <c r="G141" s="5">
        <v>4</v>
      </c>
      <c r="H141" s="60">
        <f>K141/60/40</f>
        <v>37.800000000000004</v>
      </c>
      <c r="I141" s="5" t="s">
        <v>17</v>
      </c>
      <c r="K141" s="5">
        <f>1.05*$I$4*$I$6</f>
        <v>90720.000000000015</v>
      </c>
      <c r="L141" s="5">
        <v>5</v>
      </c>
      <c r="M141" s="48"/>
      <c r="Z141" s="5">
        <f t="shared" si="67"/>
        <v>4</v>
      </c>
      <c r="AA141" s="5">
        <f t="shared" si="68"/>
        <v>0</v>
      </c>
      <c r="AB141" s="5">
        <f t="shared" si="69"/>
        <v>0</v>
      </c>
      <c r="AC141" s="5">
        <f t="shared" si="70"/>
        <v>0</v>
      </c>
      <c r="AD141" s="5">
        <f t="shared" si="71"/>
        <v>0</v>
      </c>
      <c r="AE141" s="5">
        <f t="shared" si="72"/>
        <v>0</v>
      </c>
      <c r="AF141" s="5">
        <f t="shared" si="73"/>
        <v>0</v>
      </c>
      <c r="AG141" s="5">
        <f t="shared" si="74"/>
        <v>0</v>
      </c>
      <c r="AH141" s="5">
        <f t="shared" si="75"/>
        <v>0</v>
      </c>
      <c r="AI141" s="5">
        <f t="shared" si="76"/>
        <v>0</v>
      </c>
      <c r="AJ141" s="5">
        <f t="shared" si="77"/>
        <v>0</v>
      </c>
      <c r="AK141" s="5">
        <f t="shared" si="78"/>
        <v>0</v>
      </c>
      <c r="AL141" s="5">
        <f t="shared" si="66"/>
        <v>0</v>
      </c>
      <c r="AN141" s="5">
        <f t="shared" si="80"/>
        <v>5</v>
      </c>
    </row>
    <row r="142" spans="3:40" s="5" customFormat="1" x14ac:dyDescent="0.55000000000000004">
      <c r="H142" s="49"/>
      <c r="M142" s="48"/>
      <c r="Z142" s="5">
        <f t="shared" si="67"/>
        <v>0</v>
      </c>
      <c r="AA142" s="5">
        <f t="shared" si="68"/>
        <v>0</v>
      </c>
      <c r="AB142" s="5">
        <f t="shared" si="69"/>
        <v>0</v>
      </c>
      <c r="AC142" s="5">
        <f t="shared" si="70"/>
        <v>0</v>
      </c>
      <c r="AD142" s="5">
        <f t="shared" si="71"/>
        <v>0</v>
      </c>
      <c r="AE142" s="5">
        <f t="shared" si="72"/>
        <v>0</v>
      </c>
      <c r="AF142" s="5">
        <f t="shared" si="73"/>
        <v>0</v>
      </c>
      <c r="AG142" s="5">
        <f t="shared" si="74"/>
        <v>0</v>
      </c>
      <c r="AH142" s="5">
        <f t="shared" si="75"/>
        <v>0</v>
      </c>
      <c r="AI142" s="5">
        <f t="shared" si="76"/>
        <v>0</v>
      </c>
      <c r="AJ142" s="5">
        <f t="shared" si="77"/>
        <v>0</v>
      </c>
      <c r="AK142" s="5">
        <f t="shared" si="78"/>
        <v>0</v>
      </c>
      <c r="AL142" s="5">
        <f t="shared" si="66"/>
        <v>0</v>
      </c>
      <c r="AN142" s="5">
        <f t="shared" si="80"/>
        <v>0</v>
      </c>
    </row>
    <row r="143" spans="3:40" s="5" customFormat="1" x14ac:dyDescent="0.55000000000000004">
      <c r="H143" s="9" t="s">
        <v>130</v>
      </c>
      <c r="I143" s="2"/>
      <c r="J143" s="2"/>
      <c r="K143" s="2"/>
      <c r="L143" s="2"/>
      <c r="M143" s="3"/>
      <c r="Z143" s="5">
        <f t="shared" si="67"/>
        <v>0</v>
      </c>
      <c r="AA143" s="5">
        <f t="shared" si="68"/>
        <v>0</v>
      </c>
      <c r="AB143" s="5">
        <f t="shared" si="69"/>
        <v>0</v>
      </c>
      <c r="AC143" s="5">
        <f t="shared" si="70"/>
        <v>0</v>
      </c>
      <c r="AD143" s="5">
        <f t="shared" si="71"/>
        <v>0</v>
      </c>
      <c r="AE143" s="5">
        <f t="shared" si="72"/>
        <v>0</v>
      </c>
      <c r="AF143" s="5">
        <f t="shared" si="73"/>
        <v>0</v>
      </c>
      <c r="AG143" s="5">
        <f t="shared" si="74"/>
        <v>0</v>
      </c>
      <c r="AH143" s="5">
        <f t="shared" si="75"/>
        <v>0</v>
      </c>
      <c r="AI143" s="5">
        <f t="shared" si="76"/>
        <v>0</v>
      </c>
      <c r="AJ143" s="5">
        <f t="shared" si="77"/>
        <v>0</v>
      </c>
      <c r="AK143" s="5">
        <f t="shared" si="78"/>
        <v>0</v>
      </c>
      <c r="AL143" s="5">
        <f t="shared" si="66"/>
        <v>0</v>
      </c>
      <c r="AN143" s="5">
        <f t="shared" si="80"/>
        <v>0</v>
      </c>
    </row>
    <row r="144" spans="3:40" s="5" customFormat="1" x14ac:dyDescent="0.55000000000000004">
      <c r="C144" s="5">
        <v>1</v>
      </c>
      <c r="G144" s="5">
        <v>1</v>
      </c>
      <c r="H144" s="10" t="s">
        <v>131</v>
      </c>
      <c r="I144" s="5" t="s">
        <v>132</v>
      </c>
      <c r="J144" s="5">
        <v>110000</v>
      </c>
      <c r="L144" s="5">
        <v>5</v>
      </c>
      <c r="M144" s="6" t="s">
        <v>298</v>
      </c>
      <c r="Z144" s="5">
        <f t="shared" si="67"/>
        <v>1</v>
      </c>
      <c r="AA144" s="5">
        <f t="shared" si="68"/>
        <v>0</v>
      </c>
      <c r="AB144" s="5">
        <f t="shared" si="69"/>
        <v>0</v>
      </c>
      <c r="AC144" s="5">
        <f t="shared" si="70"/>
        <v>0</v>
      </c>
      <c r="AD144" s="5">
        <f t="shared" si="71"/>
        <v>0</v>
      </c>
      <c r="AE144" s="5">
        <f t="shared" si="72"/>
        <v>110000</v>
      </c>
      <c r="AF144" s="5">
        <f t="shared" si="73"/>
        <v>0</v>
      </c>
      <c r="AG144" s="5">
        <f t="shared" si="74"/>
        <v>0</v>
      </c>
      <c r="AH144" s="5">
        <f t="shared" si="75"/>
        <v>0</v>
      </c>
      <c r="AI144" s="5">
        <f t="shared" si="76"/>
        <v>0</v>
      </c>
      <c r="AJ144" s="5">
        <f t="shared" si="77"/>
        <v>0</v>
      </c>
      <c r="AK144" s="5">
        <f t="shared" si="78"/>
        <v>0</v>
      </c>
      <c r="AL144" s="5">
        <f t="shared" si="66"/>
        <v>0</v>
      </c>
      <c r="AN144" s="5">
        <f t="shared" si="80"/>
        <v>5</v>
      </c>
    </row>
    <row r="145" spans="3:40" s="5" customFormat="1" x14ac:dyDescent="0.55000000000000004">
      <c r="D145" s="5">
        <v>0.8</v>
      </c>
      <c r="E145" s="5">
        <v>0.2</v>
      </c>
      <c r="G145" s="5">
        <v>1</v>
      </c>
      <c r="H145" s="11">
        <v>6</v>
      </c>
      <c r="I145" s="7" t="s">
        <v>17</v>
      </c>
      <c r="J145" s="7"/>
      <c r="K145" s="7">
        <f>$K$6*$I$4*H145</f>
        <v>11520</v>
      </c>
      <c r="L145" s="7">
        <v>5</v>
      </c>
      <c r="M145" s="8"/>
      <c r="Z145" s="5">
        <f t="shared" si="67"/>
        <v>1</v>
      </c>
      <c r="AA145" s="5">
        <f t="shared" si="68"/>
        <v>0</v>
      </c>
      <c r="AB145" s="5">
        <f t="shared" si="69"/>
        <v>0</v>
      </c>
      <c r="AC145" s="5">
        <f t="shared" si="70"/>
        <v>0</v>
      </c>
      <c r="AD145" s="5">
        <f t="shared" si="71"/>
        <v>0</v>
      </c>
      <c r="AE145" s="5">
        <f t="shared" si="72"/>
        <v>0</v>
      </c>
      <c r="AF145" s="5">
        <f t="shared" si="73"/>
        <v>0</v>
      </c>
      <c r="AG145" s="5">
        <f t="shared" si="74"/>
        <v>0</v>
      </c>
      <c r="AH145" s="5">
        <f t="shared" si="75"/>
        <v>9216</v>
      </c>
      <c r="AI145" s="5">
        <f t="shared" si="76"/>
        <v>0</v>
      </c>
      <c r="AJ145" s="5">
        <f t="shared" si="77"/>
        <v>2304</v>
      </c>
      <c r="AK145" s="5">
        <f t="shared" si="78"/>
        <v>0</v>
      </c>
      <c r="AL145" s="5">
        <f t="shared" si="66"/>
        <v>0</v>
      </c>
      <c r="AN145" s="5">
        <f t="shared" si="80"/>
        <v>5</v>
      </c>
    </row>
    <row r="146" spans="3:40" s="5" customFormat="1" x14ac:dyDescent="0.55000000000000004">
      <c r="H146" s="49"/>
      <c r="M146" s="48"/>
      <c r="Z146" s="5">
        <f t="shared" si="67"/>
        <v>0</v>
      </c>
      <c r="AA146" s="5">
        <f t="shared" si="68"/>
        <v>0</v>
      </c>
      <c r="AB146" s="5">
        <f t="shared" si="69"/>
        <v>0</v>
      </c>
      <c r="AC146" s="5">
        <f t="shared" si="70"/>
        <v>0</v>
      </c>
      <c r="AD146" s="5">
        <f t="shared" si="71"/>
        <v>0</v>
      </c>
      <c r="AE146" s="5">
        <f t="shared" si="72"/>
        <v>0</v>
      </c>
      <c r="AF146" s="5">
        <f t="shared" si="73"/>
        <v>0</v>
      </c>
      <c r="AG146" s="5">
        <f t="shared" si="74"/>
        <v>0</v>
      </c>
      <c r="AH146" s="5">
        <f t="shared" si="75"/>
        <v>0</v>
      </c>
      <c r="AI146" s="5">
        <f t="shared" si="76"/>
        <v>0</v>
      </c>
      <c r="AJ146" s="5">
        <f t="shared" si="77"/>
        <v>0</v>
      </c>
      <c r="AK146" s="5">
        <f t="shared" si="78"/>
        <v>0</v>
      </c>
      <c r="AL146" s="5">
        <f t="shared" si="66"/>
        <v>0</v>
      </c>
      <c r="AN146" s="5">
        <f t="shared" si="80"/>
        <v>0</v>
      </c>
    </row>
    <row r="147" spans="3:40" s="5" customFormat="1" x14ac:dyDescent="0.55000000000000004">
      <c r="H147" s="9" t="s">
        <v>149</v>
      </c>
      <c r="I147" s="2"/>
      <c r="J147" s="2"/>
      <c r="K147" s="2"/>
      <c r="L147" s="2"/>
      <c r="M147" s="3"/>
      <c r="Z147" s="5">
        <f t="shared" si="67"/>
        <v>0</v>
      </c>
      <c r="AA147" s="5">
        <f t="shared" si="68"/>
        <v>0</v>
      </c>
      <c r="AB147" s="5">
        <f t="shared" si="69"/>
        <v>0</v>
      </c>
      <c r="AC147" s="5">
        <f t="shared" si="70"/>
        <v>0</v>
      </c>
      <c r="AD147" s="5">
        <f t="shared" si="71"/>
        <v>0</v>
      </c>
      <c r="AE147" s="5">
        <f t="shared" si="72"/>
        <v>0</v>
      </c>
      <c r="AF147" s="5">
        <f t="shared" si="73"/>
        <v>0</v>
      </c>
      <c r="AG147" s="5">
        <f t="shared" si="74"/>
        <v>0</v>
      </c>
      <c r="AH147" s="5">
        <f t="shared" si="75"/>
        <v>0</v>
      </c>
      <c r="AI147" s="5">
        <f t="shared" si="76"/>
        <v>0</v>
      </c>
      <c r="AJ147" s="5">
        <f t="shared" si="77"/>
        <v>0</v>
      </c>
      <c r="AK147" s="5">
        <f t="shared" si="78"/>
        <v>0</v>
      </c>
      <c r="AL147" s="5">
        <f t="shared" si="66"/>
        <v>0</v>
      </c>
      <c r="AN147" s="5">
        <f t="shared" si="80"/>
        <v>0</v>
      </c>
    </row>
    <row r="148" spans="3:40" s="5" customFormat="1" x14ac:dyDescent="0.55000000000000004">
      <c r="C148" s="5">
        <v>0</v>
      </c>
      <c r="D148" s="5">
        <v>1</v>
      </c>
      <c r="E148" s="5">
        <v>0</v>
      </c>
      <c r="G148" s="5">
        <v>3</v>
      </c>
      <c r="H148" s="10" t="s">
        <v>148</v>
      </c>
      <c r="I148" s="5" t="s">
        <v>151</v>
      </c>
      <c r="J148" s="5">
        <v>500000</v>
      </c>
      <c r="L148" s="5">
        <v>5</v>
      </c>
      <c r="M148" s="6" t="s">
        <v>150</v>
      </c>
      <c r="Z148" s="5">
        <f t="shared" si="67"/>
        <v>3</v>
      </c>
      <c r="AA148" s="5">
        <f t="shared" si="68"/>
        <v>0</v>
      </c>
      <c r="AB148" s="5">
        <f t="shared" si="69"/>
        <v>0</v>
      </c>
      <c r="AC148" s="5">
        <f t="shared" si="70"/>
        <v>0</v>
      </c>
      <c r="AD148" s="5">
        <f t="shared" si="71"/>
        <v>0</v>
      </c>
      <c r="AE148" s="5">
        <f t="shared" si="72"/>
        <v>0</v>
      </c>
      <c r="AF148" s="5">
        <f t="shared" si="73"/>
        <v>0</v>
      </c>
      <c r="AG148" s="5">
        <f t="shared" si="74"/>
        <v>500000</v>
      </c>
      <c r="AH148" s="5">
        <f t="shared" si="75"/>
        <v>0</v>
      </c>
      <c r="AI148" s="5">
        <f t="shared" si="76"/>
        <v>0</v>
      </c>
      <c r="AJ148" s="5">
        <f t="shared" si="77"/>
        <v>0</v>
      </c>
      <c r="AK148" s="5">
        <f t="shared" si="78"/>
        <v>0</v>
      </c>
      <c r="AL148" s="5">
        <f t="shared" si="66"/>
        <v>0</v>
      </c>
      <c r="AN148" s="5">
        <f t="shared" si="80"/>
        <v>5</v>
      </c>
    </row>
    <row r="149" spans="3:40" s="5" customFormat="1" x14ac:dyDescent="0.55000000000000004">
      <c r="C149" s="5">
        <v>0</v>
      </c>
      <c r="D149" s="5">
        <v>0.5</v>
      </c>
      <c r="E149" s="5">
        <v>0.5</v>
      </c>
      <c r="G149" s="5">
        <v>3</v>
      </c>
      <c r="H149" s="10"/>
      <c r="I149" s="5" t="s">
        <v>17</v>
      </c>
      <c r="K149" s="5">
        <f>0.5*$I$4*$I$6</f>
        <v>43200</v>
      </c>
      <c r="L149" s="5">
        <v>5</v>
      </c>
      <c r="M149" s="6"/>
      <c r="Z149" s="5">
        <f t="shared" si="67"/>
        <v>3</v>
      </c>
      <c r="AA149" s="5">
        <f t="shared" si="68"/>
        <v>0</v>
      </c>
      <c r="AB149" s="5">
        <f t="shared" si="69"/>
        <v>0</v>
      </c>
      <c r="AC149" s="5">
        <f t="shared" si="70"/>
        <v>0</v>
      </c>
      <c r="AD149" s="5">
        <f t="shared" si="71"/>
        <v>0</v>
      </c>
      <c r="AE149" s="5">
        <f t="shared" si="72"/>
        <v>0</v>
      </c>
      <c r="AF149" s="5">
        <f t="shared" si="73"/>
        <v>0</v>
      </c>
      <c r="AG149" s="5">
        <f t="shared" si="74"/>
        <v>0</v>
      </c>
      <c r="AH149" s="5">
        <f t="shared" si="75"/>
        <v>21600</v>
      </c>
      <c r="AI149" s="5">
        <f t="shared" si="76"/>
        <v>0</v>
      </c>
      <c r="AJ149" s="5">
        <f t="shared" si="77"/>
        <v>21600</v>
      </c>
      <c r="AK149" s="5">
        <f t="shared" si="78"/>
        <v>0</v>
      </c>
      <c r="AL149" s="5">
        <f t="shared" si="66"/>
        <v>0</v>
      </c>
      <c r="AN149" s="5">
        <f t="shared" si="80"/>
        <v>5</v>
      </c>
    </row>
    <row r="150" spans="3:40" s="5" customFormat="1" x14ac:dyDescent="0.55000000000000004">
      <c r="G150" s="5">
        <v>4</v>
      </c>
      <c r="H150" s="10" t="s">
        <v>152</v>
      </c>
      <c r="I150" s="5" t="s">
        <v>153</v>
      </c>
      <c r="J150" s="5">
        <v>500000</v>
      </c>
      <c r="L150" s="5">
        <v>5</v>
      </c>
      <c r="M150" s="6" t="s">
        <v>154</v>
      </c>
      <c r="Z150" s="5">
        <f t="shared" si="67"/>
        <v>4</v>
      </c>
      <c r="AA150" s="5">
        <f t="shared" si="68"/>
        <v>0</v>
      </c>
      <c r="AB150" s="5">
        <f t="shared" si="69"/>
        <v>0</v>
      </c>
      <c r="AC150" s="5">
        <f t="shared" si="70"/>
        <v>0</v>
      </c>
      <c r="AD150" s="5">
        <f t="shared" si="71"/>
        <v>0</v>
      </c>
      <c r="AE150" s="5">
        <f t="shared" si="72"/>
        <v>0</v>
      </c>
      <c r="AF150" s="5">
        <f t="shared" si="73"/>
        <v>0</v>
      </c>
      <c r="AG150" s="5">
        <f t="shared" si="74"/>
        <v>0</v>
      </c>
      <c r="AH150" s="5">
        <f t="shared" si="75"/>
        <v>0</v>
      </c>
      <c r="AI150" s="5">
        <f t="shared" si="76"/>
        <v>0</v>
      </c>
      <c r="AJ150" s="5">
        <f t="shared" si="77"/>
        <v>0</v>
      </c>
      <c r="AK150" s="5">
        <f t="shared" si="78"/>
        <v>0</v>
      </c>
      <c r="AL150" s="5">
        <f t="shared" ref="AL150:AL178" si="81">F150*K150</f>
        <v>0</v>
      </c>
      <c r="AN150" s="5">
        <f t="shared" si="80"/>
        <v>5</v>
      </c>
    </row>
    <row r="151" spans="3:40" s="5" customFormat="1" x14ac:dyDescent="0.55000000000000004">
      <c r="G151" s="5">
        <v>4</v>
      </c>
      <c r="H151" s="11"/>
      <c r="I151" s="7" t="s">
        <v>17</v>
      </c>
      <c r="J151" s="7"/>
      <c r="K151" s="7">
        <f>0.5*$I$4*$I$6</f>
        <v>43200</v>
      </c>
      <c r="L151" s="7">
        <v>5</v>
      </c>
      <c r="M151" s="8"/>
      <c r="Z151" s="5">
        <f t="shared" ref="Z151:Z178" si="82">G151</f>
        <v>4</v>
      </c>
      <c r="AA151" s="5">
        <f t="shared" ref="AA151:AA178" si="83">A151*J151</f>
        <v>0</v>
      </c>
      <c r="AB151" s="5">
        <f t="shared" ref="AB151:AB209" si="84">A151*K151</f>
        <v>0</v>
      </c>
      <c r="AC151" s="5">
        <f t="shared" ref="AC151:AC178" si="85">B151*J151</f>
        <v>0</v>
      </c>
      <c r="AD151" s="5">
        <f t="shared" ref="AD151:AD178" si="86">B151*K151</f>
        <v>0</v>
      </c>
      <c r="AE151" s="5">
        <f t="shared" ref="AE151:AE178" si="87">C151*J151</f>
        <v>0</v>
      </c>
      <c r="AF151" s="5">
        <f t="shared" ref="AF151:AF178" si="88">C151*K151</f>
        <v>0</v>
      </c>
      <c r="AG151" s="5">
        <f t="shared" ref="AG151:AG178" si="89">D151*J151</f>
        <v>0</v>
      </c>
      <c r="AH151" s="5">
        <f t="shared" ref="AH151:AH178" si="90">D151*K151</f>
        <v>0</v>
      </c>
      <c r="AI151" s="5">
        <f t="shared" ref="AI151:AI178" si="91">E151*J151</f>
        <v>0</v>
      </c>
      <c r="AJ151" s="5">
        <f t="shared" ref="AJ151:AJ178" si="92">E151*K151</f>
        <v>0</v>
      </c>
      <c r="AK151" s="5">
        <f t="shared" ref="AK151:AK178" si="93">F151*J151</f>
        <v>0</v>
      </c>
      <c r="AL151" s="5">
        <f t="shared" si="81"/>
        <v>0</v>
      </c>
      <c r="AN151" s="5">
        <f t="shared" si="80"/>
        <v>5</v>
      </c>
    </row>
    <row r="152" spans="3:40" s="5" customFormat="1" x14ac:dyDescent="0.55000000000000004">
      <c r="H152" s="49"/>
      <c r="M152" s="48"/>
      <c r="Z152" s="5">
        <f t="shared" si="82"/>
        <v>0</v>
      </c>
      <c r="AA152" s="5">
        <f t="shared" si="83"/>
        <v>0</v>
      </c>
      <c r="AB152" s="5">
        <f t="shared" si="84"/>
        <v>0</v>
      </c>
      <c r="AC152" s="5">
        <f t="shared" si="85"/>
        <v>0</v>
      </c>
      <c r="AD152" s="5">
        <f t="shared" si="86"/>
        <v>0</v>
      </c>
      <c r="AE152" s="5">
        <f t="shared" si="87"/>
        <v>0</v>
      </c>
      <c r="AF152" s="5">
        <f t="shared" si="88"/>
        <v>0</v>
      </c>
      <c r="AG152" s="5">
        <f t="shared" si="89"/>
        <v>0</v>
      </c>
      <c r="AH152" s="5">
        <f t="shared" si="90"/>
        <v>0</v>
      </c>
      <c r="AI152" s="5">
        <f t="shared" si="91"/>
        <v>0</v>
      </c>
      <c r="AJ152" s="5">
        <f t="shared" si="92"/>
        <v>0</v>
      </c>
      <c r="AK152" s="5">
        <f t="shared" si="93"/>
        <v>0</v>
      </c>
      <c r="AL152" s="5">
        <f t="shared" si="81"/>
        <v>0</v>
      </c>
      <c r="AN152" s="5">
        <f t="shared" si="80"/>
        <v>0</v>
      </c>
    </row>
    <row r="153" spans="3:40" s="5" customFormat="1" x14ac:dyDescent="0.55000000000000004">
      <c r="H153" s="9" t="s">
        <v>158</v>
      </c>
      <c r="I153" s="2"/>
      <c r="J153" s="2"/>
      <c r="K153" s="2"/>
      <c r="L153" s="2"/>
      <c r="M153" s="3"/>
      <c r="Z153" s="5">
        <f t="shared" si="82"/>
        <v>0</v>
      </c>
      <c r="AA153" s="5">
        <f t="shared" si="83"/>
        <v>0</v>
      </c>
      <c r="AB153" s="5">
        <f t="shared" si="84"/>
        <v>0</v>
      </c>
      <c r="AC153" s="5">
        <f t="shared" si="85"/>
        <v>0</v>
      </c>
      <c r="AD153" s="5">
        <f t="shared" si="86"/>
        <v>0</v>
      </c>
      <c r="AE153" s="5">
        <f t="shared" si="87"/>
        <v>0</v>
      </c>
      <c r="AF153" s="5">
        <f t="shared" si="88"/>
        <v>0</v>
      </c>
      <c r="AG153" s="5">
        <f t="shared" si="89"/>
        <v>0</v>
      </c>
      <c r="AH153" s="5">
        <f t="shared" si="90"/>
        <v>0</v>
      </c>
      <c r="AI153" s="5">
        <f t="shared" si="91"/>
        <v>0</v>
      </c>
      <c r="AJ153" s="5">
        <f t="shared" si="92"/>
        <v>0</v>
      </c>
      <c r="AK153" s="5">
        <f t="shared" si="93"/>
        <v>0</v>
      </c>
      <c r="AL153" s="5">
        <f t="shared" si="81"/>
        <v>0</v>
      </c>
      <c r="AN153" s="5">
        <f t="shared" si="80"/>
        <v>0</v>
      </c>
    </row>
    <row r="154" spans="3:40" s="5" customFormat="1" x14ac:dyDescent="0.55000000000000004">
      <c r="G154" s="5">
        <v>4</v>
      </c>
      <c r="H154" s="10" t="s">
        <v>159</v>
      </c>
      <c r="I154" s="13" t="s">
        <v>158</v>
      </c>
      <c r="J154" s="5">
        <v>147000</v>
      </c>
      <c r="L154" s="15">
        <v>5</v>
      </c>
      <c r="M154" s="6" t="s">
        <v>300</v>
      </c>
      <c r="Z154" s="5">
        <f t="shared" si="82"/>
        <v>4</v>
      </c>
      <c r="AA154" s="5">
        <f t="shared" si="83"/>
        <v>0</v>
      </c>
      <c r="AB154" s="5">
        <f t="shared" si="84"/>
        <v>0</v>
      </c>
      <c r="AC154" s="5">
        <f t="shared" si="85"/>
        <v>0</v>
      </c>
      <c r="AD154" s="5">
        <f t="shared" si="86"/>
        <v>0</v>
      </c>
      <c r="AE154" s="5">
        <f t="shared" si="87"/>
        <v>0</v>
      </c>
      <c r="AF154" s="5">
        <f t="shared" si="88"/>
        <v>0</v>
      </c>
      <c r="AG154" s="5">
        <f t="shared" si="89"/>
        <v>0</v>
      </c>
      <c r="AH154" s="5">
        <f t="shared" si="90"/>
        <v>0</v>
      </c>
      <c r="AI154" s="5">
        <f t="shared" si="91"/>
        <v>0</v>
      </c>
      <c r="AJ154" s="5">
        <f t="shared" si="92"/>
        <v>0</v>
      </c>
      <c r="AK154" s="5">
        <f t="shared" si="93"/>
        <v>0</v>
      </c>
      <c r="AL154" s="5">
        <f t="shared" si="81"/>
        <v>0</v>
      </c>
      <c r="AN154" s="5">
        <f t="shared" si="80"/>
        <v>5</v>
      </c>
    </row>
    <row r="155" spans="3:40" s="5" customFormat="1" x14ac:dyDescent="0.55000000000000004">
      <c r="G155" s="5">
        <v>4</v>
      </c>
      <c r="H155" s="11">
        <v>6</v>
      </c>
      <c r="I155" s="7" t="s">
        <v>17</v>
      </c>
      <c r="J155" s="7"/>
      <c r="K155" s="7">
        <f>$K$6*$I$4*H155</f>
        <v>11520</v>
      </c>
      <c r="L155" s="7">
        <v>5</v>
      </c>
      <c r="M155" s="8"/>
      <c r="Z155" s="5">
        <f t="shared" si="82"/>
        <v>4</v>
      </c>
      <c r="AA155" s="5">
        <f t="shared" si="83"/>
        <v>0</v>
      </c>
      <c r="AB155" s="5">
        <f t="shared" si="84"/>
        <v>0</v>
      </c>
      <c r="AC155" s="5">
        <f t="shared" si="85"/>
        <v>0</v>
      </c>
      <c r="AD155" s="5">
        <f t="shared" si="86"/>
        <v>0</v>
      </c>
      <c r="AE155" s="5">
        <f t="shared" si="87"/>
        <v>0</v>
      </c>
      <c r="AF155" s="5">
        <f t="shared" si="88"/>
        <v>0</v>
      </c>
      <c r="AG155" s="5">
        <f t="shared" si="89"/>
        <v>0</v>
      </c>
      <c r="AH155" s="5">
        <f t="shared" si="90"/>
        <v>0</v>
      </c>
      <c r="AI155" s="5">
        <f t="shared" si="91"/>
        <v>0</v>
      </c>
      <c r="AJ155" s="5">
        <f t="shared" si="92"/>
        <v>0</v>
      </c>
      <c r="AK155" s="5">
        <f t="shared" si="93"/>
        <v>0</v>
      </c>
      <c r="AL155" s="5">
        <f t="shared" si="81"/>
        <v>0</v>
      </c>
      <c r="AN155" s="5">
        <f t="shared" si="80"/>
        <v>5</v>
      </c>
    </row>
    <row r="156" spans="3:40" s="5" customFormat="1" x14ac:dyDescent="0.55000000000000004">
      <c r="H156" s="49"/>
      <c r="M156" s="48"/>
      <c r="Z156" s="5">
        <f t="shared" si="82"/>
        <v>0</v>
      </c>
      <c r="AA156" s="5">
        <f t="shared" si="83"/>
        <v>0</v>
      </c>
      <c r="AB156" s="5">
        <f t="shared" si="84"/>
        <v>0</v>
      </c>
      <c r="AC156" s="5">
        <f t="shared" si="85"/>
        <v>0</v>
      </c>
      <c r="AD156" s="5">
        <f t="shared" si="86"/>
        <v>0</v>
      </c>
      <c r="AE156" s="5">
        <f t="shared" si="87"/>
        <v>0</v>
      </c>
      <c r="AF156" s="5">
        <f t="shared" si="88"/>
        <v>0</v>
      </c>
      <c r="AG156" s="5">
        <f t="shared" si="89"/>
        <v>0</v>
      </c>
      <c r="AH156" s="5">
        <f t="shared" si="90"/>
        <v>0</v>
      </c>
      <c r="AI156" s="5">
        <f t="shared" si="91"/>
        <v>0</v>
      </c>
      <c r="AJ156" s="5">
        <f t="shared" si="92"/>
        <v>0</v>
      </c>
      <c r="AK156" s="5">
        <f t="shared" si="93"/>
        <v>0</v>
      </c>
      <c r="AL156" s="5">
        <f t="shared" si="81"/>
        <v>0</v>
      </c>
      <c r="AN156" s="5">
        <f t="shared" si="80"/>
        <v>0</v>
      </c>
    </row>
    <row r="157" spans="3:40" s="5" customFormat="1" x14ac:dyDescent="0.55000000000000004">
      <c r="H157" s="9" t="s">
        <v>155</v>
      </c>
      <c r="I157" s="2"/>
      <c r="J157" s="2"/>
      <c r="K157" s="2"/>
      <c r="L157" s="2"/>
      <c r="M157" s="3"/>
      <c r="Z157" s="5">
        <f t="shared" si="82"/>
        <v>0</v>
      </c>
      <c r="AA157" s="5">
        <f t="shared" si="83"/>
        <v>0</v>
      </c>
      <c r="AB157" s="5">
        <f t="shared" si="84"/>
        <v>0</v>
      </c>
      <c r="AC157" s="5">
        <f t="shared" si="85"/>
        <v>0</v>
      </c>
      <c r="AD157" s="5">
        <f t="shared" si="86"/>
        <v>0</v>
      </c>
      <c r="AE157" s="5">
        <f t="shared" si="87"/>
        <v>0</v>
      </c>
      <c r="AF157" s="5">
        <f t="shared" si="88"/>
        <v>0</v>
      </c>
      <c r="AG157" s="5">
        <f t="shared" si="89"/>
        <v>0</v>
      </c>
      <c r="AH157" s="5">
        <f t="shared" si="90"/>
        <v>0</v>
      </c>
      <c r="AI157" s="5">
        <f t="shared" si="91"/>
        <v>0</v>
      </c>
      <c r="AJ157" s="5">
        <f t="shared" si="92"/>
        <v>0</v>
      </c>
      <c r="AK157" s="5">
        <f t="shared" si="93"/>
        <v>0</v>
      </c>
      <c r="AL157" s="5">
        <f t="shared" si="81"/>
        <v>0</v>
      </c>
      <c r="AN157" s="5">
        <f t="shared" si="80"/>
        <v>0</v>
      </c>
    </row>
    <row r="158" spans="3:40" s="5" customFormat="1" x14ac:dyDescent="0.55000000000000004">
      <c r="D158" s="5">
        <v>1</v>
      </c>
      <c r="G158" s="5">
        <v>2</v>
      </c>
      <c r="H158" s="10" t="s">
        <v>141</v>
      </c>
      <c r="I158" s="5" t="s">
        <v>156</v>
      </c>
      <c r="J158" s="5">
        <v>50000</v>
      </c>
      <c r="L158" s="5">
        <v>4</v>
      </c>
      <c r="M158" s="6" t="s">
        <v>157</v>
      </c>
      <c r="Z158" s="5">
        <f t="shared" si="82"/>
        <v>2</v>
      </c>
      <c r="AA158" s="5">
        <f t="shared" si="83"/>
        <v>0</v>
      </c>
      <c r="AB158" s="5">
        <f t="shared" si="84"/>
        <v>0</v>
      </c>
      <c r="AC158" s="5">
        <f t="shared" si="85"/>
        <v>0</v>
      </c>
      <c r="AD158" s="5">
        <f t="shared" si="86"/>
        <v>0</v>
      </c>
      <c r="AE158" s="5">
        <f t="shared" si="87"/>
        <v>0</v>
      </c>
      <c r="AF158" s="5">
        <f t="shared" si="88"/>
        <v>0</v>
      </c>
      <c r="AG158" s="5">
        <f t="shared" si="89"/>
        <v>50000</v>
      </c>
      <c r="AH158" s="5">
        <f t="shared" si="90"/>
        <v>0</v>
      </c>
      <c r="AI158" s="5">
        <f t="shared" si="91"/>
        <v>0</v>
      </c>
      <c r="AJ158" s="5">
        <f t="shared" si="92"/>
        <v>0</v>
      </c>
      <c r="AK158" s="5">
        <f t="shared" si="93"/>
        <v>0</v>
      </c>
      <c r="AL158" s="5">
        <f t="shared" si="81"/>
        <v>0</v>
      </c>
      <c r="AN158" s="5">
        <f t="shared" si="80"/>
        <v>4</v>
      </c>
    </row>
    <row r="159" spans="3:40" s="5" customFormat="1" x14ac:dyDescent="0.55000000000000004">
      <c r="D159" s="5">
        <v>0.2</v>
      </c>
      <c r="E159" s="5">
        <v>0.6</v>
      </c>
      <c r="F159" s="5">
        <v>0.2</v>
      </c>
      <c r="G159" s="5">
        <v>2</v>
      </c>
      <c r="H159" s="10">
        <v>6</v>
      </c>
      <c r="I159" s="5" t="s">
        <v>17</v>
      </c>
      <c r="K159" s="5">
        <f>$K$6*$I$4*H159</f>
        <v>11520</v>
      </c>
      <c r="L159" s="5">
        <v>4</v>
      </c>
      <c r="M159" s="6"/>
      <c r="Z159" s="5">
        <f t="shared" si="82"/>
        <v>2</v>
      </c>
      <c r="AA159" s="5">
        <f t="shared" si="83"/>
        <v>0</v>
      </c>
      <c r="AB159" s="5">
        <f t="shared" si="84"/>
        <v>0</v>
      </c>
      <c r="AC159" s="5">
        <f t="shared" si="85"/>
        <v>0</v>
      </c>
      <c r="AD159" s="5">
        <f t="shared" si="86"/>
        <v>0</v>
      </c>
      <c r="AE159" s="5">
        <f t="shared" si="87"/>
        <v>0</v>
      </c>
      <c r="AF159" s="5">
        <f t="shared" si="88"/>
        <v>0</v>
      </c>
      <c r="AG159" s="5">
        <f t="shared" si="89"/>
        <v>0</v>
      </c>
      <c r="AH159" s="5">
        <f t="shared" si="90"/>
        <v>2304</v>
      </c>
      <c r="AI159" s="5">
        <f t="shared" si="91"/>
        <v>0</v>
      </c>
      <c r="AJ159" s="5">
        <f t="shared" si="92"/>
        <v>6912</v>
      </c>
      <c r="AK159" s="5">
        <f t="shared" si="93"/>
        <v>0</v>
      </c>
      <c r="AL159" s="5">
        <f t="shared" si="81"/>
        <v>2304</v>
      </c>
      <c r="AN159" s="5">
        <f t="shared" si="80"/>
        <v>4</v>
      </c>
    </row>
    <row r="160" spans="3:40" s="5" customFormat="1" x14ac:dyDescent="0.55000000000000004">
      <c r="D160" s="5">
        <v>1</v>
      </c>
      <c r="G160" s="5">
        <v>2</v>
      </c>
      <c r="H160" s="10"/>
      <c r="I160" s="5" t="s">
        <v>200</v>
      </c>
      <c r="J160" s="5">
        <v>250000</v>
      </c>
      <c r="L160" s="5">
        <v>4</v>
      </c>
      <c r="M160" s="6" t="s">
        <v>201</v>
      </c>
      <c r="Z160" s="5">
        <f t="shared" si="82"/>
        <v>2</v>
      </c>
      <c r="AA160" s="5">
        <f t="shared" si="83"/>
        <v>0</v>
      </c>
      <c r="AB160" s="5">
        <f t="shared" si="84"/>
        <v>0</v>
      </c>
      <c r="AC160" s="5">
        <f t="shared" si="85"/>
        <v>0</v>
      </c>
      <c r="AD160" s="5">
        <f t="shared" si="86"/>
        <v>0</v>
      </c>
      <c r="AE160" s="5">
        <f t="shared" si="87"/>
        <v>0</v>
      </c>
      <c r="AF160" s="5">
        <f t="shared" si="88"/>
        <v>0</v>
      </c>
      <c r="AG160" s="5">
        <f t="shared" si="89"/>
        <v>250000</v>
      </c>
      <c r="AH160" s="5">
        <f t="shared" si="90"/>
        <v>0</v>
      </c>
      <c r="AI160" s="5">
        <f t="shared" si="91"/>
        <v>0</v>
      </c>
      <c r="AJ160" s="5">
        <f t="shared" si="92"/>
        <v>0</v>
      </c>
      <c r="AK160" s="5">
        <f t="shared" si="93"/>
        <v>0</v>
      </c>
      <c r="AL160" s="5">
        <f t="shared" si="81"/>
        <v>0</v>
      </c>
      <c r="AN160" s="5">
        <f t="shared" si="80"/>
        <v>4</v>
      </c>
    </row>
    <row r="161" spans="1:40" s="5" customFormat="1" x14ac:dyDescent="0.55000000000000004">
      <c r="D161" s="5">
        <v>0.2</v>
      </c>
      <c r="E161" s="5">
        <v>0.6</v>
      </c>
      <c r="F161" s="5">
        <v>0.2</v>
      </c>
      <c r="G161" s="5">
        <v>2</v>
      </c>
      <c r="H161" s="11">
        <v>12</v>
      </c>
      <c r="I161" s="7" t="s">
        <v>17</v>
      </c>
      <c r="J161" s="7"/>
      <c r="K161" s="7">
        <f>$K$6*$I$4*H161</f>
        <v>23040</v>
      </c>
      <c r="L161" s="7">
        <v>4</v>
      </c>
      <c r="M161" s="8"/>
      <c r="Z161" s="5">
        <f t="shared" si="82"/>
        <v>2</v>
      </c>
      <c r="AA161" s="5">
        <f t="shared" si="83"/>
        <v>0</v>
      </c>
      <c r="AB161" s="5">
        <f t="shared" si="84"/>
        <v>0</v>
      </c>
      <c r="AC161" s="5">
        <f t="shared" si="85"/>
        <v>0</v>
      </c>
      <c r="AD161" s="5">
        <f t="shared" si="86"/>
        <v>0</v>
      </c>
      <c r="AE161" s="5">
        <f t="shared" si="87"/>
        <v>0</v>
      </c>
      <c r="AF161" s="5">
        <f t="shared" si="88"/>
        <v>0</v>
      </c>
      <c r="AG161" s="5">
        <f t="shared" si="89"/>
        <v>0</v>
      </c>
      <c r="AH161" s="5">
        <f t="shared" si="90"/>
        <v>4608</v>
      </c>
      <c r="AI161" s="5">
        <f t="shared" si="91"/>
        <v>0</v>
      </c>
      <c r="AJ161" s="5">
        <f t="shared" si="92"/>
        <v>13824</v>
      </c>
      <c r="AK161" s="5">
        <f t="shared" si="93"/>
        <v>0</v>
      </c>
      <c r="AL161" s="5">
        <f t="shared" si="81"/>
        <v>4608</v>
      </c>
      <c r="AN161" s="5">
        <f t="shared" si="80"/>
        <v>4</v>
      </c>
    </row>
    <row r="162" spans="1:40" s="5" customFormat="1" ht="14.7" thickBot="1" x14ac:dyDescent="0.6">
      <c r="H162" s="32"/>
      <c r="Z162" s="5">
        <f t="shared" ref="Z162:Z165" si="94">G162</f>
        <v>0</v>
      </c>
      <c r="AA162" s="5">
        <f t="shared" ref="AA162:AA165" si="95">A162*J162</f>
        <v>0</v>
      </c>
      <c r="AB162" s="5">
        <f t="shared" ref="AB162:AB165" si="96">A162*K162</f>
        <v>0</v>
      </c>
      <c r="AC162" s="5">
        <f t="shared" ref="AC162:AC165" si="97">B162*J162</f>
        <v>0</v>
      </c>
      <c r="AD162" s="5">
        <f t="shared" ref="AD162:AD165" si="98">B162*K162</f>
        <v>0</v>
      </c>
      <c r="AE162" s="5">
        <f t="shared" ref="AE162:AE165" si="99">C162*J162</f>
        <v>0</v>
      </c>
      <c r="AF162" s="5">
        <f t="shared" ref="AF162:AF165" si="100">C162*K162</f>
        <v>0</v>
      </c>
      <c r="AG162" s="5">
        <f t="shared" ref="AG162:AG165" si="101">D162*J162</f>
        <v>0</v>
      </c>
      <c r="AH162" s="5">
        <f t="shared" ref="AH162:AH165" si="102">D162*K162</f>
        <v>0</v>
      </c>
      <c r="AI162" s="5">
        <f t="shared" ref="AI162:AI165" si="103">E162*J162</f>
        <v>0</v>
      </c>
      <c r="AJ162" s="5">
        <f t="shared" ref="AJ162:AJ165" si="104">E162*K162</f>
        <v>0</v>
      </c>
      <c r="AK162" s="5">
        <f t="shared" ref="AK162:AK165" si="105">F162*J162</f>
        <v>0</v>
      </c>
      <c r="AL162" s="5">
        <f t="shared" ref="AL162:AL165" si="106">F162*K162</f>
        <v>0</v>
      </c>
      <c r="AN162" s="5">
        <f t="shared" si="80"/>
        <v>0</v>
      </c>
    </row>
    <row r="163" spans="1:40" s="5" customFormat="1" x14ac:dyDescent="0.55000000000000004">
      <c r="H163" s="64" t="s">
        <v>228</v>
      </c>
      <c r="I163" s="45"/>
      <c r="J163" s="45"/>
      <c r="K163" s="45"/>
      <c r="L163" s="45"/>
      <c r="M163" s="55"/>
      <c r="Z163" s="5">
        <f t="shared" si="94"/>
        <v>0</v>
      </c>
      <c r="AA163" s="5">
        <f t="shared" si="95"/>
        <v>0</v>
      </c>
      <c r="AB163" s="5">
        <f t="shared" si="96"/>
        <v>0</v>
      </c>
      <c r="AC163" s="5">
        <f t="shared" si="97"/>
        <v>0</v>
      </c>
      <c r="AD163" s="5">
        <f t="shared" si="98"/>
        <v>0</v>
      </c>
      <c r="AE163" s="5">
        <f t="shared" si="99"/>
        <v>0</v>
      </c>
      <c r="AF163" s="5">
        <f t="shared" si="100"/>
        <v>0</v>
      </c>
      <c r="AG163" s="5">
        <f t="shared" si="101"/>
        <v>0</v>
      </c>
      <c r="AH163" s="5">
        <f t="shared" si="102"/>
        <v>0</v>
      </c>
      <c r="AI163" s="5">
        <f t="shared" si="103"/>
        <v>0</v>
      </c>
      <c r="AJ163" s="5">
        <f t="shared" si="104"/>
        <v>0</v>
      </c>
      <c r="AK163" s="5">
        <f t="shared" si="105"/>
        <v>0</v>
      </c>
      <c r="AL163" s="5">
        <f t="shared" si="106"/>
        <v>0</v>
      </c>
      <c r="AN163" s="5">
        <f t="shared" si="80"/>
        <v>0</v>
      </c>
    </row>
    <row r="164" spans="1:40" s="5" customFormat="1" x14ac:dyDescent="0.55000000000000004">
      <c r="D164" s="15">
        <v>0.6</v>
      </c>
      <c r="E164" s="5">
        <v>0.4</v>
      </c>
      <c r="G164" s="15">
        <v>1</v>
      </c>
      <c r="H164" s="50"/>
      <c r="I164" s="15" t="s">
        <v>228</v>
      </c>
      <c r="J164" s="5">
        <v>50000</v>
      </c>
      <c r="L164" s="15">
        <v>9</v>
      </c>
      <c r="M164" s="48" t="s">
        <v>229</v>
      </c>
      <c r="Z164" s="5">
        <f t="shared" si="94"/>
        <v>1</v>
      </c>
      <c r="AA164" s="5">
        <f t="shared" si="95"/>
        <v>0</v>
      </c>
      <c r="AB164" s="5">
        <f t="shared" si="96"/>
        <v>0</v>
      </c>
      <c r="AC164" s="5">
        <f t="shared" si="97"/>
        <v>0</v>
      </c>
      <c r="AD164" s="5">
        <f t="shared" si="98"/>
        <v>0</v>
      </c>
      <c r="AE164" s="5">
        <f t="shared" si="99"/>
        <v>0</v>
      </c>
      <c r="AF164" s="5">
        <f t="shared" si="100"/>
        <v>0</v>
      </c>
      <c r="AG164" s="5">
        <f t="shared" si="101"/>
        <v>30000</v>
      </c>
      <c r="AH164" s="5">
        <f t="shared" si="102"/>
        <v>0</v>
      </c>
      <c r="AI164" s="5">
        <f t="shared" si="103"/>
        <v>20000</v>
      </c>
      <c r="AJ164" s="5">
        <f t="shared" si="104"/>
        <v>0</v>
      </c>
      <c r="AK164" s="5">
        <f t="shared" si="105"/>
        <v>0</v>
      </c>
      <c r="AL164" s="5">
        <f t="shared" si="106"/>
        <v>0</v>
      </c>
      <c r="AN164" s="5">
        <f t="shared" si="80"/>
        <v>9</v>
      </c>
    </row>
    <row r="165" spans="1:40" s="5" customFormat="1" ht="14.7" thickBot="1" x14ac:dyDescent="0.6">
      <c r="D165" s="15"/>
      <c r="E165" s="5">
        <v>1</v>
      </c>
      <c r="G165" s="15">
        <v>1</v>
      </c>
      <c r="H165" s="57">
        <v>14</v>
      </c>
      <c r="I165" s="62" t="s">
        <v>17</v>
      </c>
      <c r="J165" s="53"/>
      <c r="K165" s="53">
        <f>$K$6*$I$4*H165</f>
        <v>26880</v>
      </c>
      <c r="L165" s="53">
        <v>9</v>
      </c>
      <c r="M165" s="54"/>
      <c r="Z165" s="5">
        <f t="shared" si="94"/>
        <v>1</v>
      </c>
      <c r="AA165" s="5">
        <f t="shared" si="95"/>
        <v>0</v>
      </c>
      <c r="AB165" s="5">
        <f t="shared" si="96"/>
        <v>0</v>
      </c>
      <c r="AC165" s="5">
        <f t="shared" si="97"/>
        <v>0</v>
      </c>
      <c r="AD165" s="5">
        <f t="shared" si="98"/>
        <v>0</v>
      </c>
      <c r="AE165" s="5">
        <f t="shared" si="99"/>
        <v>0</v>
      </c>
      <c r="AF165" s="5">
        <f t="shared" si="100"/>
        <v>0</v>
      </c>
      <c r="AG165" s="5">
        <f t="shared" si="101"/>
        <v>0</v>
      </c>
      <c r="AH165" s="5">
        <f t="shared" si="102"/>
        <v>0</v>
      </c>
      <c r="AI165" s="5">
        <f t="shared" si="103"/>
        <v>0</v>
      </c>
      <c r="AJ165" s="5">
        <f t="shared" si="104"/>
        <v>26880</v>
      </c>
      <c r="AK165" s="5">
        <f t="shared" si="105"/>
        <v>0</v>
      </c>
      <c r="AL165" s="5">
        <f t="shared" si="106"/>
        <v>0</v>
      </c>
      <c r="AN165" s="5">
        <f t="shared" si="80"/>
        <v>9</v>
      </c>
    </row>
    <row r="166" spans="1:40" s="5" customFormat="1" ht="14.7" thickBot="1" x14ac:dyDescent="0.6">
      <c r="H166" s="32"/>
      <c r="Z166" s="5">
        <f t="shared" si="82"/>
        <v>0</v>
      </c>
      <c r="AA166" s="5">
        <f t="shared" si="83"/>
        <v>0</v>
      </c>
      <c r="AB166" s="5">
        <f t="shared" si="84"/>
        <v>0</v>
      </c>
      <c r="AC166" s="5">
        <f t="shared" si="85"/>
        <v>0</v>
      </c>
      <c r="AD166" s="5">
        <f t="shared" si="86"/>
        <v>0</v>
      </c>
      <c r="AE166" s="5">
        <f t="shared" si="87"/>
        <v>0</v>
      </c>
      <c r="AF166" s="5">
        <f t="shared" si="88"/>
        <v>0</v>
      </c>
      <c r="AG166" s="5">
        <f t="shared" si="89"/>
        <v>0</v>
      </c>
      <c r="AH166" s="5">
        <f t="shared" si="90"/>
        <v>0</v>
      </c>
      <c r="AI166" s="5">
        <f t="shared" si="91"/>
        <v>0</v>
      </c>
      <c r="AJ166" s="5">
        <f t="shared" si="92"/>
        <v>0</v>
      </c>
      <c r="AK166" s="5">
        <f t="shared" si="93"/>
        <v>0</v>
      </c>
      <c r="AL166" s="5">
        <f t="shared" si="81"/>
        <v>0</v>
      </c>
      <c r="AN166" s="5">
        <f t="shared" ref="AN166:AN194" si="107">L166</f>
        <v>0</v>
      </c>
    </row>
    <row r="167" spans="1:40" s="5" customFormat="1" x14ac:dyDescent="0.55000000000000004">
      <c r="H167" s="58" t="s">
        <v>139</v>
      </c>
      <c r="I167" s="45"/>
      <c r="J167" s="45"/>
      <c r="K167" s="45"/>
      <c r="L167" s="45"/>
      <c r="M167" s="55"/>
      <c r="Z167" s="5">
        <f t="shared" si="82"/>
        <v>0</v>
      </c>
      <c r="AA167" s="5">
        <f t="shared" si="83"/>
        <v>0</v>
      </c>
      <c r="AB167" s="5">
        <f t="shared" si="84"/>
        <v>0</v>
      </c>
      <c r="AC167" s="5">
        <f t="shared" si="85"/>
        <v>0</v>
      </c>
      <c r="AD167" s="5">
        <f t="shared" si="86"/>
        <v>0</v>
      </c>
      <c r="AE167" s="5">
        <f t="shared" si="87"/>
        <v>0</v>
      </c>
      <c r="AF167" s="5">
        <f t="shared" si="88"/>
        <v>0</v>
      </c>
      <c r="AG167" s="5">
        <f t="shared" si="89"/>
        <v>0</v>
      </c>
      <c r="AH167" s="5">
        <f t="shared" si="90"/>
        <v>0</v>
      </c>
      <c r="AI167" s="5">
        <f t="shared" si="91"/>
        <v>0</v>
      </c>
      <c r="AJ167" s="5">
        <f t="shared" si="92"/>
        <v>0</v>
      </c>
      <c r="AK167" s="5">
        <f t="shared" si="93"/>
        <v>0</v>
      </c>
      <c r="AL167" s="5">
        <f t="shared" si="81"/>
        <v>0</v>
      </c>
      <c r="AN167" s="5">
        <f t="shared" si="107"/>
        <v>0</v>
      </c>
    </row>
    <row r="168" spans="1:40" s="5" customFormat="1" ht="14.7" thickBot="1" x14ac:dyDescent="0.6">
      <c r="D168" s="5">
        <v>1</v>
      </c>
      <c r="E168" s="5">
        <v>0</v>
      </c>
      <c r="G168" s="5">
        <v>1</v>
      </c>
      <c r="H168" s="52" t="s">
        <v>141</v>
      </c>
      <c r="I168" s="53" t="s">
        <v>135</v>
      </c>
      <c r="J168" s="53">
        <v>60000</v>
      </c>
      <c r="K168" s="53"/>
      <c r="L168" s="53">
        <v>9</v>
      </c>
      <c r="M168" s="54" t="s">
        <v>295</v>
      </c>
      <c r="Z168" s="5">
        <f t="shared" si="82"/>
        <v>1</v>
      </c>
      <c r="AA168" s="5">
        <f t="shared" si="83"/>
        <v>0</v>
      </c>
      <c r="AB168" s="5">
        <f t="shared" si="84"/>
        <v>0</v>
      </c>
      <c r="AC168" s="5">
        <f t="shared" si="85"/>
        <v>0</v>
      </c>
      <c r="AD168" s="5">
        <f t="shared" si="86"/>
        <v>0</v>
      </c>
      <c r="AE168" s="5">
        <f t="shared" si="87"/>
        <v>0</v>
      </c>
      <c r="AF168" s="5">
        <f t="shared" si="88"/>
        <v>0</v>
      </c>
      <c r="AG168" s="5">
        <f t="shared" si="89"/>
        <v>60000</v>
      </c>
      <c r="AH168" s="5">
        <f t="shared" si="90"/>
        <v>0</v>
      </c>
      <c r="AI168" s="5">
        <f t="shared" si="91"/>
        <v>0</v>
      </c>
      <c r="AJ168" s="5">
        <f t="shared" si="92"/>
        <v>0</v>
      </c>
      <c r="AK168" s="5">
        <f t="shared" si="93"/>
        <v>0</v>
      </c>
      <c r="AL168" s="5">
        <f t="shared" si="81"/>
        <v>0</v>
      </c>
      <c r="AN168" s="5">
        <f t="shared" si="107"/>
        <v>9</v>
      </c>
    </row>
    <row r="169" spans="1:40" s="5" customFormat="1" ht="14.7" thickBot="1" x14ac:dyDescent="0.6">
      <c r="Z169" s="5">
        <f t="shared" si="82"/>
        <v>0</v>
      </c>
      <c r="AA169" s="5">
        <f t="shared" si="83"/>
        <v>0</v>
      </c>
      <c r="AB169" s="5">
        <f t="shared" si="84"/>
        <v>0</v>
      </c>
      <c r="AC169" s="5">
        <f t="shared" si="85"/>
        <v>0</v>
      </c>
      <c r="AD169" s="5">
        <f t="shared" si="86"/>
        <v>0</v>
      </c>
      <c r="AE169" s="5">
        <f t="shared" si="87"/>
        <v>0</v>
      </c>
      <c r="AF169" s="5">
        <f t="shared" si="88"/>
        <v>0</v>
      </c>
      <c r="AG169" s="5">
        <f t="shared" si="89"/>
        <v>0</v>
      </c>
      <c r="AH169" s="5">
        <f t="shared" si="90"/>
        <v>0</v>
      </c>
      <c r="AI169" s="5">
        <f t="shared" si="91"/>
        <v>0</v>
      </c>
      <c r="AJ169" s="5">
        <f t="shared" si="92"/>
        <v>0</v>
      </c>
      <c r="AK169" s="5">
        <f t="shared" si="93"/>
        <v>0</v>
      </c>
      <c r="AL169" s="5">
        <f t="shared" si="81"/>
        <v>0</v>
      </c>
      <c r="AN169" s="5">
        <f t="shared" si="107"/>
        <v>0</v>
      </c>
    </row>
    <row r="170" spans="1:40" s="5" customFormat="1" x14ac:dyDescent="0.55000000000000004">
      <c r="H170" s="58" t="s">
        <v>161</v>
      </c>
      <c r="I170" s="45"/>
      <c r="J170" s="45"/>
      <c r="K170" s="45"/>
      <c r="L170" s="45"/>
      <c r="M170" s="55"/>
      <c r="Z170" s="5">
        <f t="shared" si="82"/>
        <v>0</v>
      </c>
      <c r="AA170" s="5">
        <f t="shared" si="83"/>
        <v>0</v>
      </c>
      <c r="AB170" s="5">
        <f t="shared" si="84"/>
        <v>0</v>
      </c>
      <c r="AC170" s="5">
        <f t="shared" si="85"/>
        <v>0</v>
      </c>
      <c r="AD170" s="5">
        <f t="shared" si="86"/>
        <v>0</v>
      </c>
      <c r="AE170" s="5">
        <f t="shared" si="87"/>
        <v>0</v>
      </c>
      <c r="AF170" s="5">
        <f t="shared" si="88"/>
        <v>0</v>
      </c>
      <c r="AG170" s="5">
        <f t="shared" si="89"/>
        <v>0</v>
      </c>
      <c r="AH170" s="5">
        <f t="shared" si="90"/>
        <v>0</v>
      </c>
      <c r="AI170" s="5">
        <f t="shared" si="91"/>
        <v>0</v>
      </c>
      <c r="AJ170" s="5">
        <f t="shared" si="92"/>
        <v>0</v>
      </c>
      <c r="AK170" s="5">
        <f t="shared" si="93"/>
        <v>0</v>
      </c>
      <c r="AL170" s="5">
        <f t="shared" si="81"/>
        <v>0</v>
      </c>
      <c r="AN170" s="5">
        <f t="shared" si="107"/>
        <v>0</v>
      </c>
    </row>
    <row r="171" spans="1:40" s="5" customFormat="1" x14ac:dyDescent="0.55000000000000004">
      <c r="D171" s="5">
        <v>1</v>
      </c>
      <c r="G171" s="5">
        <v>1</v>
      </c>
      <c r="H171" s="49" t="s">
        <v>162</v>
      </c>
      <c r="I171" s="5" t="s">
        <v>163</v>
      </c>
      <c r="J171" s="5">
        <v>150000</v>
      </c>
      <c r="L171" s="5">
        <v>9</v>
      </c>
      <c r="M171" s="48" t="s">
        <v>230</v>
      </c>
      <c r="Z171" s="5">
        <f t="shared" si="82"/>
        <v>1</v>
      </c>
      <c r="AA171" s="5">
        <f t="shared" si="83"/>
        <v>0</v>
      </c>
      <c r="AB171" s="5">
        <f t="shared" si="84"/>
        <v>0</v>
      </c>
      <c r="AC171" s="5">
        <f t="shared" si="85"/>
        <v>0</v>
      </c>
      <c r="AD171" s="5">
        <f t="shared" si="86"/>
        <v>0</v>
      </c>
      <c r="AE171" s="5">
        <f t="shared" si="87"/>
        <v>0</v>
      </c>
      <c r="AF171" s="5">
        <f t="shared" si="88"/>
        <v>0</v>
      </c>
      <c r="AG171" s="5">
        <f t="shared" si="89"/>
        <v>150000</v>
      </c>
      <c r="AH171" s="5">
        <f t="shared" si="90"/>
        <v>0</v>
      </c>
      <c r="AI171" s="5">
        <f t="shared" si="91"/>
        <v>0</v>
      </c>
      <c r="AJ171" s="5">
        <f t="shared" si="92"/>
        <v>0</v>
      </c>
      <c r="AK171" s="5">
        <f t="shared" si="93"/>
        <v>0</v>
      </c>
      <c r="AL171" s="5">
        <f t="shared" si="81"/>
        <v>0</v>
      </c>
      <c r="AN171" s="5">
        <f t="shared" si="107"/>
        <v>9</v>
      </c>
    </row>
    <row r="172" spans="1:40" s="5" customFormat="1" ht="14.7" thickBot="1" x14ac:dyDescent="0.6">
      <c r="D172" s="5">
        <v>0.2</v>
      </c>
      <c r="E172" s="5">
        <v>0.8</v>
      </c>
      <c r="G172" s="5">
        <v>1</v>
      </c>
      <c r="H172" s="57">
        <v>14</v>
      </c>
      <c r="I172" s="53" t="s">
        <v>17</v>
      </c>
      <c r="J172" s="53"/>
      <c r="K172" s="53">
        <f>$K$6*$I$4*H172</f>
        <v>26880</v>
      </c>
      <c r="L172" s="53">
        <v>9</v>
      </c>
      <c r="M172" s="54"/>
      <c r="Z172" s="5">
        <f t="shared" si="82"/>
        <v>1</v>
      </c>
      <c r="AA172" s="5">
        <f t="shared" si="83"/>
        <v>0</v>
      </c>
      <c r="AB172" s="5">
        <f t="shared" si="84"/>
        <v>0</v>
      </c>
      <c r="AC172" s="5">
        <f t="shared" si="85"/>
        <v>0</v>
      </c>
      <c r="AD172" s="5">
        <f t="shared" si="86"/>
        <v>0</v>
      </c>
      <c r="AE172" s="5">
        <f t="shared" si="87"/>
        <v>0</v>
      </c>
      <c r="AF172" s="5">
        <f t="shared" si="88"/>
        <v>0</v>
      </c>
      <c r="AG172" s="5">
        <f t="shared" si="89"/>
        <v>0</v>
      </c>
      <c r="AH172" s="5">
        <f t="shared" si="90"/>
        <v>5376</v>
      </c>
      <c r="AI172" s="5">
        <f t="shared" si="91"/>
        <v>0</v>
      </c>
      <c r="AJ172" s="5">
        <f t="shared" si="92"/>
        <v>21504</v>
      </c>
      <c r="AK172" s="5">
        <f t="shared" si="93"/>
        <v>0</v>
      </c>
      <c r="AL172" s="5">
        <f t="shared" si="81"/>
        <v>0</v>
      </c>
      <c r="AN172" s="5">
        <f t="shared" si="107"/>
        <v>9</v>
      </c>
    </row>
    <row r="173" spans="1:40" s="5" customFormat="1" x14ac:dyDescent="0.55000000000000004">
      <c r="K173" s="14">
        <f>SUM(K15:K172)</f>
        <v>1141084.8</v>
      </c>
      <c r="M173" s="41">
        <f>N173</f>
        <v>9.9052500000000006</v>
      </c>
      <c r="N173" s="42">
        <f>K173/60/40/48</f>
        <v>9.9052500000000006</v>
      </c>
      <c r="Z173" s="5">
        <f t="shared" si="82"/>
        <v>0</v>
      </c>
      <c r="AA173" s="5">
        <f t="shared" si="83"/>
        <v>0</v>
      </c>
      <c r="AB173" s="5">
        <f t="shared" si="84"/>
        <v>0</v>
      </c>
      <c r="AC173" s="5">
        <f t="shared" si="85"/>
        <v>0</v>
      </c>
      <c r="AD173" s="5">
        <f t="shared" si="86"/>
        <v>0</v>
      </c>
      <c r="AE173" s="5">
        <f t="shared" si="87"/>
        <v>0</v>
      </c>
      <c r="AF173" s="5">
        <f t="shared" si="88"/>
        <v>0</v>
      </c>
      <c r="AG173" s="5">
        <f t="shared" si="89"/>
        <v>0</v>
      </c>
      <c r="AH173" s="5">
        <f t="shared" si="90"/>
        <v>0</v>
      </c>
      <c r="AI173" s="5">
        <f t="shared" si="91"/>
        <v>0</v>
      </c>
      <c r="AJ173" s="5">
        <f t="shared" si="92"/>
        <v>0</v>
      </c>
      <c r="AK173" s="5">
        <f t="shared" si="93"/>
        <v>0</v>
      </c>
      <c r="AL173" s="5">
        <f t="shared" si="81"/>
        <v>0</v>
      </c>
      <c r="AN173" s="5">
        <f t="shared" si="107"/>
        <v>0</v>
      </c>
    </row>
    <row r="174" spans="1:40" s="5" customFormat="1" x14ac:dyDescent="0.55000000000000004">
      <c r="H174" s="12" t="s">
        <v>167</v>
      </c>
      <c r="M174" s="5" t="s">
        <v>191</v>
      </c>
      <c r="Z174" s="5">
        <f t="shared" si="82"/>
        <v>0</v>
      </c>
      <c r="AA174" s="5">
        <f t="shared" si="83"/>
        <v>0</v>
      </c>
      <c r="AB174" s="5">
        <f t="shared" si="84"/>
        <v>0</v>
      </c>
      <c r="AC174" s="5">
        <f t="shared" si="85"/>
        <v>0</v>
      </c>
      <c r="AD174" s="5">
        <f t="shared" si="86"/>
        <v>0</v>
      </c>
      <c r="AE174" s="5">
        <f t="shared" si="87"/>
        <v>0</v>
      </c>
      <c r="AF174" s="5">
        <f t="shared" si="88"/>
        <v>0</v>
      </c>
      <c r="AG174" s="5">
        <f t="shared" si="89"/>
        <v>0</v>
      </c>
      <c r="AH174" s="5">
        <f t="shared" si="90"/>
        <v>0</v>
      </c>
      <c r="AI174" s="5">
        <f t="shared" si="91"/>
        <v>0</v>
      </c>
      <c r="AJ174" s="5">
        <f t="shared" si="92"/>
        <v>0</v>
      </c>
      <c r="AK174" s="5">
        <f t="shared" si="93"/>
        <v>0</v>
      </c>
      <c r="AL174" s="5">
        <f t="shared" si="81"/>
        <v>0</v>
      </c>
      <c r="AN174" s="5">
        <f t="shared" si="107"/>
        <v>0</v>
      </c>
    </row>
    <row r="175" spans="1:40" s="5" customFormat="1" x14ac:dyDescent="0.55000000000000004">
      <c r="H175" s="12" t="s">
        <v>168</v>
      </c>
      <c r="M175" s="5" t="s">
        <v>174</v>
      </c>
      <c r="Z175" s="5">
        <f t="shared" si="82"/>
        <v>0</v>
      </c>
      <c r="AA175" s="5">
        <f t="shared" si="83"/>
        <v>0</v>
      </c>
      <c r="AB175" s="5">
        <f t="shared" si="84"/>
        <v>0</v>
      </c>
      <c r="AC175" s="5">
        <f t="shared" si="85"/>
        <v>0</v>
      </c>
      <c r="AD175" s="5">
        <f t="shared" si="86"/>
        <v>0</v>
      </c>
      <c r="AE175" s="5">
        <f t="shared" si="87"/>
        <v>0</v>
      </c>
      <c r="AF175" s="5">
        <f t="shared" si="88"/>
        <v>0</v>
      </c>
      <c r="AG175" s="5">
        <f t="shared" si="89"/>
        <v>0</v>
      </c>
      <c r="AH175" s="5">
        <f t="shared" si="90"/>
        <v>0</v>
      </c>
      <c r="AI175" s="5">
        <f t="shared" si="91"/>
        <v>0</v>
      </c>
      <c r="AJ175" s="5">
        <f t="shared" si="92"/>
        <v>0</v>
      </c>
      <c r="AK175" s="5">
        <f t="shared" si="93"/>
        <v>0</v>
      </c>
      <c r="AL175" s="5">
        <f t="shared" si="81"/>
        <v>0</v>
      </c>
      <c r="AN175" s="5">
        <f t="shared" si="107"/>
        <v>0</v>
      </c>
    </row>
    <row r="176" spans="1:40" s="5" customFormat="1" x14ac:dyDescent="0.55000000000000004">
      <c r="A176" s="5">
        <v>1</v>
      </c>
      <c r="G176" s="5">
        <v>1</v>
      </c>
      <c r="H176" s="5">
        <v>48</v>
      </c>
      <c r="I176" s="5" t="s">
        <v>164</v>
      </c>
      <c r="K176" s="5">
        <f>$K$6*$I$5*H176</f>
        <v>115200</v>
      </c>
      <c r="L176" s="5">
        <v>8</v>
      </c>
      <c r="M176" s="40">
        <f>H176/48</f>
        <v>1</v>
      </c>
      <c r="Z176" s="5">
        <f t="shared" si="82"/>
        <v>1</v>
      </c>
      <c r="AA176" s="5">
        <f t="shared" si="83"/>
        <v>0</v>
      </c>
      <c r="AB176" s="5">
        <f t="shared" si="84"/>
        <v>115200</v>
      </c>
      <c r="AC176" s="5">
        <f t="shared" si="85"/>
        <v>0</v>
      </c>
      <c r="AD176" s="5">
        <f t="shared" si="86"/>
        <v>0</v>
      </c>
      <c r="AE176" s="5">
        <f t="shared" si="87"/>
        <v>0</v>
      </c>
      <c r="AF176" s="5">
        <f t="shared" si="88"/>
        <v>0</v>
      </c>
      <c r="AG176" s="5">
        <f t="shared" si="89"/>
        <v>0</v>
      </c>
      <c r="AH176" s="5">
        <f t="shared" si="90"/>
        <v>0</v>
      </c>
      <c r="AI176" s="5">
        <f t="shared" si="91"/>
        <v>0</v>
      </c>
      <c r="AJ176" s="5">
        <f t="shared" si="92"/>
        <v>0</v>
      </c>
      <c r="AK176" s="5">
        <f t="shared" si="93"/>
        <v>0</v>
      </c>
      <c r="AL176" s="5">
        <f t="shared" si="81"/>
        <v>0</v>
      </c>
      <c r="AN176" s="5">
        <f t="shared" si="107"/>
        <v>8</v>
      </c>
    </row>
    <row r="177" spans="1:40" s="5" customFormat="1" x14ac:dyDescent="0.55000000000000004">
      <c r="A177" s="5">
        <v>1</v>
      </c>
      <c r="G177" s="5">
        <v>1</v>
      </c>
      <c r="H177" s="5">
        <v>48</v>
      </c>
      <c r="I177" s="5" t="s">
        <v>165</v>
      </c>
      <c r="K177" s="5">
        <f>$K$6*$I$5*H177</f>
        <v>115200</v>
      </c>
      <c r="L177" s="5">
        <v>8</v>
      </c>
      <c r="M177" s="40">
        <f>H177/48</f>
        <v>1</v>
      </c>
      <c r="Z177" s="5">
        <f t="shared" si="82"/>
        <v>1</v>
      </c>
      <c r="AA177" s="5">
        <f t="shared" si="83"/>
        <v>0</v>
      </c>
      <c r="AB177" s="5">
        <f t="shared" si="84"/>
        <v>115200</v>
      </c>
      <c r="AC177" s="5">
        <f t="shared" si="85"/>
        <v>0</v>
      </c>
      <c r="AD177" s="5">
        <f t="shared" si="86"/>
        <v>0</v>
      </c>
      <c r="AE177" s="5">
        <f t="shared" si="87"/>
        <v>0</v>
      </c>
      <c r="AF177" s="5">
        <f t="shared" si="88"/>
        <v>0</v>
      </c>
      <c r="AG177" s="5">
        <f t="shared" si="89"/>
        <v>0</v>
      </c>
      <c r="AH177" s="5">
        <f t="shared" si="90"/>
        <v>0</v>
      </c>
      <c r="AI177" s="5">
        <f t="shared" si="91"/>
        <v>0</v>
      </c>
      <c r="AJ177" s="5">
        <f t="shared" si="92"/>
        <v>0</v>
      </c>
      <c r="AK177" s="5">
        <f t="shared" si="93"/>
        <v>0</v>
      </c>
      <c r="AL177" s="5">
        <f t="shared" si="81"/>
        <v>0</v>
      </c>
      <c r="AN177" s="5">
        <f t="shared" si="107"/>
        <v>8</v>
      </c>
    </row>
    <row r="178" spans="1:40" s="5" customFormat="1" x14ac:dyDescent="0.55000000000000004">
      <c r="A178" s="5">
        <v>1</v>
      </c>
      <c r="G178" s="5">
        <v>1</v>
      </c>
      <c r="H178" s="5">
        <v>48</v>
      </c>
      <c r="I178" s="5" t="s">
        <v>166</v>
      </c>
      <c r="K178" s="5">
        <f>$K$6*$I$3*H178</f>
        <v>92160</v>
      </c>
      <c r="L178" s="5">
        <v>8</v>
      </c>
      <c r="M178" s="40">
        <f>H178/48</f>
        <v>1</v>
      </c>
      <c r="Z178" s="5">
        <f t="shared" si="82"/>
        <v>1</v>
      </c>
      <c r="AA178" s="5">
        <f t="shared" si="83"/>
        <v>0</v>
      </c>
      <c r="AB178" s="5">
        <f t="shared" si="84"/>
        <v>92160</v>
      </c>
      <c r="AC178" s="5">
        <f t="shared" si="85"/>
        <v>0</v>
      </c>
      <c r="AD178" s="5">
        <f t="shared" si="86"/>
        <v>0</v>
      </c>
      <c r="AE178" s="5">
        <f t="shared" si="87"/>
        <v>0</v>
      </c>
      <c r="AF178" s="5">
        <f t="shared" si="88"/>
        <v>0</v>
      </c>
      <c r="AG178" s="5">
        <f t="shared" si="89"/>
        <v>0</v>
      </c>
      <c r="AH178" s="5">
        <f t="shared" si="90"/>
        <v>0</v>
      </c>
      <c r="AI178" s="5">
        <f t="shared" si="91"/>
        <v>0</v>
      </c>
      <c r="AJ178" s="5">
        <f t="shared" si="92"/>
        <v>0</v>
      </c>
      <c r="AK178" s="5">
        <f t="shared" si="93"/>
        <v>0</v>
      </c>
      <c r="AL178" s="5">
        <f t="shared" si="81"/>
        <v>0</v>
      </c>
      <c r="AN178" s="5">
        <f t="shared" si="107"/>
        <v>8</v>
      </c>
    </row>
    <row r="179" spans="1:40" s="5" customFormat="1" x14ac:dyDescent="0.55000000000000004">
      <c r="A179" s="15">
        <v>1</v>
      </c>
      <c r="G179" s="15">
        <v>1</v>
      </c>
      <c r="I179" s="15" t="s">
        <v>215</v>
      </c>
      <c r="J179" s="5">
        <f>327400-SUM(K176:K178)</f>
        <v>4840</v>
      </c>
      <c r="L179" s="5">
        <v>8</v>
      </c>
      <c r="Z179" s="5">
        <f t="shared" ref="Z179:Z207" si="108">G179</f>
        <v>1</v>
      </c>
      <c r="AA179" s="5">
        <f t="shared" ref="AA179:AA207" si="109">A179*J179</f>
        <v>4840</v>
      </c>
      <c r="AB179" s="5">
        <f t="shared" ref="AB179:AB207" si="110">A179*K179</f>
        <v>0</v>
      </c>
      <c r="AC179" s="5">
        <f t="shared" ref="AC179:AC207" si="111">B179*J179</f>
        <v>0</v>
      </c>
      <c r="AD179" s="5">
        <f t="shared" ref="AD179:AD207" si="112">B179*K179</f>
        <v>0</v>
      </c>
      <c r="AE179" s="5">
        <f t="shared" ref="AE179:AE207" si="113">C179*J179</f>
        <v>0</v>
      </c>
      <c r="AF179" s="5">
        <f t="shared" ref="AF179:AF207" si="114">C179*K179</f>
        <v>0</v>
      </c>
      <c r="AG179" s="5">
        <f t="shared" ref="AG179:AG207" si="115">D179*J179</f>
        <v>0</v>
      </c>
      <c r="AH179" s="5">
        <f t="shared" ref="AH179:AH207" si="116">D179*K179</f>
        <v>0</v>
      </c>
      <c r="AI179" s="5">
        <f t="shared" ref="AI179:AI207" si="117">E179*J179</f>
        <v>0</v>
      </c>
      <c r="AJ179" s="5">
        <f t="shared" ref="AJ179:AJ207" si="118">E179*K179</f>
        <v>0</v>
      </c>
      <c r="AK179" s="5">
        <f t="shared" ref="AK179:AK207" si="119">F179*J179</f>
        <v>0</v>
      </c>
      <c r="AL179" s="5">
        <f t="shared" ref="AL179:AL207" si="120">F179*K179</f>
        <v>0</v>
      </c>
      <c r="AN179" s="5">
        <f t="shared" si="107"/>
        <v>8</v>
      </c>
    </row>
    <row r="180" spans="1:40" s="5" customFormat="1" x14ac:dyDescent="0.55000000000000004">
      <c r="H180" s="12" t="s">
        <v>169</v>
      </c>
      <c r="Z180" s="5">
        <f t="shared" si="108"/>
        <v>0</v>
      </c>
      <c r="AA180" s="5">
        <f t="shared" si="109"/>
        <v>0</v>
      </c>
      <c r="AB180" s="5">
        <f t="shared" si="110"/>
        <v>0</v>
      </c>
      <c r="AC180" s="5">
        <f t="shared" si="111"/>
        <v>0</v>
      </c>
      <c r="AD180" s="5">
        <f t="shared" si="112"/>
        <v>0</v>
      </c>
      <c r="AE180" s="5">
        <f t="shared" si="113"/>
        <v>0</v>
      </c>
      <c r="AF180" s="5">
        <f t="shared" si="114"/>
        <v>0</v>
      </c>
      <c r="AG180" s="5">
        <f t="shared" si="115"/>
        <v>0</v>
      </c>
      <c r="AH180" s="5">
        <f t="shared" si="116"/>
        <v>0</v>
      </c>
      <c r="AI180" s="5">
        <f t="shared" si="117"/>
        <v>0</v>
      </c>
      <c r="AJ180" s="5">
        <f t="shared" si="118"/>
        <v>0</v>
      </c>
      <c r="AK180" s="5">
        <f t="shared" si="119"/>
        <v>0</v>
      </c>
      <c r="AL180" s="5">
        <f t="shared" si="120"/>
        <v>0</v>
      </c>
      <c r="AN180" s="5">
        <f t="shared" si="107"/>
        <v>0</v>
      </c>
    </row>
    <row r="181" spans="1:40" s="5" customFormat="1" x14ac:dyDescent="0.55000000000000004">
      <c r="B181" s="5">
        <v>1</v>
      </c>
      <c r="G181" s="5">
        <v>1</v>
      </c>
      <c r="H181" s="5">
        <v>48</v>
      </c>
      <c r="I181" s="5" t="s">
        <v>164</v>
      </c>
      <c r="K181" s="5">
        <f>$K$6*$I$5*H181</f>
        <v>115200</v>
      </c>
      <c r="L181" s="5">
        <v>8</v>
      </c>
      <c r="M181" s="40">
        <f>H181/48</f>
        <v>1</v>
      </c>
      <c r="Z181" s="5">
        <f t="shared" si="108"/>
        <v>1</v>
      </c>
      <c r="AA181" s="5">
        <f t="shared" si="109"/>
        <v>0</v>
      </c>
      <c r="AB181" s="5">
        <f t="shared" si="110"/>
        <v>0</v>
      </c>
      <c r="AC181" s="5">
        <f t="shared" si="111"/>
        <v>0</v>
      </c>
      <c r="AD181" s="5">
        <f t="shared" si="112"/>
        <v>115200</v>
      </c>
      <c r="AE181" s="5">
        <f t="shared" si="113"/>
        <v>0</v>
      </c>
      <c r="AF181" s="5">
        <f t="shared" si="114"/>
        <v>0</v>
      </c>
      <c r="AG181" s="5">
        <f t="shared" si="115"/>
        <v>0</v>
      </c>
      <c r="AH181" s="5">
        <f t="shared" si="116"/>
        <v>0</v>
      </c>
      <c r="AI181" s="5">
        <f t="shared" si="117"/>
        <v>0</v>
      </c>
      <c r="AJ181" s="5">
        <f t="shared" si="118"/>
        <v>0</v>
      </c>
      <c r="AK181" s="5">
        <f t="shared" si="119"/>
        <v>0</v>
      </c>
      <c r="AL181" s="5">
        <f t="shared" si="120"/>
        <v>0</v>
      </c>
      <c r="AN181" s="5">
        <f t="shared" si="107"/>
        <v>8</v>
      </c>
    </row>
    <row r="182" spans="1:40" s="5" customFormat="1" x14ac:dyDescent="0.55000000000000004">
      <c r="B182" s="5">
        <v>1</v>
      </c>
      <c r="G182" s="5">
        <v>1</v>
      </c>
      <c r="H182" s="5">
        <v>48</v>
      </c>
      <c r="I182" s="5" t="s">
        <v>165</v>
      </c>
      <c r="K182" s="5">
        <f>$K$6*$I$5*H182</f>
        <v>115200</v>
      </c>
      <c r="L182" s="5">
        <v>8</v>
      </c>
      <c r="M182" s="40">
        <f>H182/48</f>
        <v>1</v>
      </c>
      <c r="Z182" s="5">
        <f t="shared" si="108"/>
        <v>1</v>
      </c>
      <c r="AA182" s="5">
        <f t="shared" si="109"/>
        <v>0</v>
      </c>
      <c r="AB182" s="5">
        <f t="shared" si="110"/>
        <v>0</v>
      </c>
      <c r="AC182" s="5">
        <f t="shared" si="111"/>
        <v>0</v>
      </c>
      <c r="AD182" s="5">
        <f t="shared" si="112"/>
        <v>115200</v>
      </c>
      <c r="AE182" s="5">
        <f t="shared" si="113"/>
        <v>0</v>
      </c>
      <c r="AF182" s="5">
        <f t="shared" si="114"/>
        <v>0</v>
      </c>
      <c r="AG182" s="5">
        <f t="shared" si="115"/>
        <v>0</v>
      </c>
      <c r="AH182" s="5">
        <f t="shared" si="116"/>
        <v>0</v>
      </c>
      <c r="AI182" s="5">
        <f t="shared" si="117"/>
        <v>0</v>
      </c>
      <c r="AJ182" s="5">
        <f t="shared" si="118"/>
        <v>0</v>
      </c>
      <c r="AK182" s="5">
        <f t="shared" si="119"/>
        <v>0</v>
      </c>
      <c r="AL182" s="5">
        <f t="shared" si="120"/>
        <v>0</v>
      </c>
      <c r="AN182" s="5">
        <f t="shared" si="107"/>
        <v>8</v>
      </c>
    </row>
    <row r="183" spans="1:40" s="5" customFormat="1" x14ac:dyDescent="0.55000000000000004">
      <c r="B183" s="5">
        <v>1</v>
      </c>
      <c r="G183" s="15">
        <v>1</v>
      </c>
      <c r="H183" s="5">
        <f>4*3*(H181/48)</f>
        <v>12</v>
      </c>
      <c r="I183" s="15" t="s">
        <v>219</v>
      </c>
      <c r="K183" s="5">
        <f>H183*$K$6*$I$5</f>
        <v>28800</v>
      </c>
      <c r="L183" s="15">
        <v>8</v>
      </c>
      <c r="M183" s="40" t="s">
        <v>218</v>
      </c>
      <c r="Z183" s="5">
        <f t="shared" si="108"/>
        <v>1</v>
      </c>
      <c r="AA183" s="5">
        <f t="shared" si="109"/>
        <v>0</v>
      </c>
      <c r="AB183" s="5">
        <f t="shared" si="110"/>
        <v>0</v>
      </c>
      <c r="AC183" s="5">
        <f t="shared" si="111"/>
        <v>0</v>
      </c>
      <c r="AD183" s="5">
        <f t="shared" si="112"/>
        <v>28800</v>
      </c>
      <c r="AE183" s="5">
        <f t="shared" si="113"/>
        <v>0</v>
      </c>
      <c r="AF183" s="5">
        <f t="shared" si="114"/>
        <v>0</v>
      </c>
      <c r="AG183" s="5">
        <f t="shared" si="115"/>
        <v>0</v>
      </c>
      <c r="AH183" s="5">
        <f t="shared" si="116"/>
        <v>0</v>
      </c>
      <c r="AI183" s="5">
        <f t="shared" si="117"/>
        <v>0</v>
      </c>
      <c r="AJ183" s="5">
        <f t="shared" si="118"/>
        <v>0</v>
      </c>
      <c r="AK183" s="5">
        <f t="shared" si="119"/>
        <v>0</v>
      </c>
      <c r="AL183" s="5">
        <f t="shared" si="120"/>
        <v>0</v>
      </c>
      <c r="AN183" s="15">
        <f t="shared" si="107"/>
        <v>8</v>
      </c>
    </row>
    <row r="184" spans="1:40" s="5" customFormat="1" x14ac:dyDescent="0.55000000000000004">
      <c r="B184" s="15">
        <v>1</v>
      </c>
      <c r="G184" s="15">
        <v>1</v>
      </c>
      <c r="H184" s="5">
        <f>H181/4*2</f>
        <v>24</v>
      </c>
      <c r="I184" s="15" t="s">
        <v>217</v>
      </c>
      <c r="J184" s="5">
        <f>H184*480</f>
        <v>11520</v>
      </c>
      <c r="L184" s="15">
        <v>8</v>
      </c>
      <c r="M184" s="40" t="s">
        <v>287</v>
      </c>
      <c r="Z184" s="5">
        <f t="shared" si="108"/>
        <v>1</v>
      </c>
      <c r="AA184" s="5">
        <f t="shared" si="109"/>
        <v>0</v>
      </c>
      <c r="AB184" s="5">
        <f t="shared" si="110"/>
        <v>0</v>
      </c>
      <c r="AC184" s="5">
        <f t="shared" si="111"/>
        <v>11520</v>
      </c>
      <c r="AD184" s="5">
        <f t="shared" si="112"/>
        <v>0</v>
      </c>
      <c r="AE184" s="5">
        <f t="shared" si="113"/>
        <v>0</v>
      </c>
      <c r="AF184" s="5">
        <f t="shared" si="114"/>
        <v>0</v>
      </c>
      <c r="AG184" s="5">
        <f t="shared" si="115"/>
        <v>0</v>
      </c>
      <c r="AH184" s="5">
        <f t="shared" si="116"/>
        <v>0</v>
      </c>
      <c r="AI184" s="5">
        <f t="shared" si="117"/>
        <v>0</v>
      </c>
      <c r="AJ184" s="5">
        <f t="shared" si="118"/>
        <v>0</v>
      </c>
      <c r="AK184" s="5">
        <f t="shared" si="119"/>
        <v>0</v>
      </c>
      <c r="AL184" s="5">
        <f t="shared" si="120"/>
        <v>0</v>
      </c>
      <c r="AN184" s="15">
        <f t="shared" si="107"/>
        <v>8</v>
      </c>
    </row>
    <row r="185" spans="1:40" s="5" customFormat="1" x14ac:dyDescent="0.55000000000000004">
      <c r="Z185" s="5">
        <f t="shared" si="108"/>
        <v>0</v>
      </c>
      <c r="AA185" s="5">
        <f t="shared" si="109"/>
        <v>0</v>
      </c>
      <c r="AB185" s="5">
        <f t="shared" si="110"/>
        <v>0</v>
      </c>
      <c r="AC185" s="5">
        <f t="shared" si="111"/>
        <v>0</v>
      </c>
      <c r="AD185" s="5">
        <f t="shared" si="112"/>
        <v>0</v>
      </c>
      <c r="AE185" s="5">
        <f t="shared" si="113"/>
        <v>0</v>
      </c>
      <c r="AF185" s="5">
        <f t="shared" si="114"/>
        <v>0</v>
      </c>
      <c r="AG185" s="5">
        <f t="shared" si="115"/>
        <v>0</v>
      </c>
      <c r="AH185" s="5">
        <f t="shared" si="116"/>
        <v>0</v>
      </c>
      <c r="AI185" s="5">
        <f t="shared" si="117"/>
        <v>0</v>
      </c>
      <c r="AJ185" s="5">
        <f t="shared" si="118"/>
        <v>0</v>
      </c>
      <c r="AK185" s="5">
        <f t="shared" si="119"/>
        <v>0</v>
      </c>
      <c r="AL185" s="5">
        <f t="shared" si="120"/>
        <v>0</v>
      </c>
      <c r="AN185" s="5">
        <f t="shared" si="107"/>
        <v>0</v>
      </c>
    </row>
    <row r="186" spans="1:40" s="5" customFormat="1" x14ac:dyDescent="0.55000000000000004">
      <c r="H186" s="12" t="s">
        <v>170</v>
      </c>
      <c r="Z186" s="5">
        <f t="shared" si="108"/>
        <v>0</v>
      </c>
      <c r="AA186" s="5">
        <f t="shared" si="109"/>
        <v>0</v>
      </c>
      <c r="AB186" s="5">
        <f t="shared" si="110"/>
        <v>0</v>
      </c>
      <c r="AC186" s="5">
        <f t="shared" si="111"/>
        <v>0</v>
      </c>
      <c r="AD186" s="5">
        <f t="shared" si="112"/>
        <v>0</v>
      </c>
      <c r="AE186" s="5">
        <f t="shared" si="113"/>
        <v>0</v>
      </c>
      <c r="AF186" s="5">
        <f t="shared" si="114"/>
        <v>0</v>
      </c>
      <c r="AG186" s="5">
        <f t="shared" si="115"/>
        <v>0</v>
      </c>
      <c r="AH186" s="5">
        <f t="shared" si="116"/>
        <v>0</v>
      </c>
      <c r="AI186" s="5">
        <f t="shared" si="117"/>
        <v>0</v>
      </c>
      <c r="AJ186" s="5">
        <f t="shared" si="118"/>
        <v>0</v>
      </c>
      <c r="AK186" s="5">
        <f t="shared" si="119"/>
        <v>0</v>
      </c>
      <c r="AL186" s="5">
        <f t="shared" si="120"/>
        <v>0</v>
      </c>
      <c r="AN186" s="5">
        <f t="shared" si="107"/>
        <v>0</v>
      </c>
    </row>
    <row r="187" spans="1:40" s="5" customFormat="1" x14ac:dyDescent="0.55000000000000004">
      <c r="C187" s="5">
        <v>1</v>
      </c>
      <c r="G187" s="5">
        <v>1</v>
      </c>
      <c r="H187" s="5">
        <f>48*31/12</f>
        <v>124</v>
      </c>
      <c r="I187" s="5" t="s">
        <v>164</v>
      </c>
      <c r="K187" s="5">
        <f>$K$6*$I$5*H187</f>
        <v>297600</v>
      </c>
      <c r="L187" s="5">
        <v>8</v>
      </c>
      <c r="M187" s="41">
        <f>H187/48</f>
        <v>2.5833333333333335</v>
      </c>
      <c r="Z187" s="5">
        <f t="shared" si="108"/>
        <v>1</v>
      </c>
      <c r="AA187" s="5">
        <f t="shared" si="109"/>
        <v>0</v>
      </c>
      <c r="AB187" s="5">
        <f t="shared" si="110"/>
        <v>0</v>
      </c>
      <c r="AC187" s="5">
        <f t="shared" si="111"/>
        <v>0</v>
      </c>
      <c r="AD187" s="5">
        <f t="shared" si="112"/>
        <v>0</v>
      </c>
      <c r="AE187" s="5">
        <f t="shared" si="113"/>
        <v>0</v>
      </c>
      <c r="AF187" s="5">
        <f t="shared" si="114"/>
        <v>297600</v>
      </c>
      <c r="AG187" s="5">
        <f t="shared" si="115"/>
        <v>0</v>
      </c>
      <c r="AH187" s="5">
        <f t="shared" si="116"/>
        <v>0</v>
      </c>
      <c r="AI187" s="5">
        <f t="shared" si="117"/>
        <v>0</v>
      </c>
      <c r="AJ187" s="5">
        <f t="shared" si="118"/>
        <v>0</v>
      </c>
      <c r="AK187" s="5">
        <f t="shared" si="119"/>
        <v>0</v>
      </c>
      <c r="AL187" s="5">
        <f t="shared" si="120"/>
        <v>0</v>
      </c>
      <c r="AN187" s="5">
        <f t="shared" si="107"/>
        <v>8</v>
      </c>
    </row>
    <row r="188" spans="1:40" s="5" customFormat="1" x14ac:dyDescent="0.55000000000000004">
      <c r="C188" s="5">
        <v>1</v>
      </c>
      <c r="G188" s="5">
        <v>1</v>
      </c>
      <c r="H188" s="5">
        <f>48*31/12</f>
        <v>124</v>
      </c>
      <c r="I188" s="5" t="s">
        <v>165</v>
      </c>
      <c r="K188" s="5">
        <f>$K$6*$I$5*H188</f>
        <v>297600</v>
      </c>
      <c r="L188" s="5">
        <v>8</v>
      </c>
      <c r="M188" s="41">
        <f>H188/48</f>
        <v>2.5833333333333335</v>
      </c>
      <c r="Z188" s="5">
        <f t="shared" si="108"/>
        <v>1</v>
      </c>
      <c r="AA188" s="5">
        <f t="shared" si="109"/>
        <v>0</v>
      </c>
      <c r="AB188" s="5">
        <f t="shared" si="110"/>
        <v>0</v>
      </c>
      <c r="AC188" s="5">
        <f t="shared" si="111"/>
        <v>0</v>
      </c>
      <c r="AD188" s="5">
        <f t="shared" si="112"/>
        <v>0</v>
      </c>
      <c r="AE188" s="5">
        <f t="shared" si="113"/>
        <v>0</v>
      </c>
      <c r="AF188" s="5">
        <f t="shared" si="114"/>
        <v>297600</v>
      </c>
      <c r="AG188" s="5">
        <f t="shared" si="115"/>
        <v>0</v>
      </c>
      <c r="AH188" s="5">
        <f t="shared" si="116"/>
        <v>0</v>
      </c>
      <c r="AI188" s="5">
        <f t="shared" si="117"/>
        <v>0</v>
      </c>
      <c r="AJ188" s="5">
        <f t="shared" si="118"/>
        <v>0</v>
      </c>
      <c r="AK188" s="5">
        <f t="shared" si="119"/>
        <v>0</v>
      </c>
      <c r="AL188" s="5">
        <f t="shared" si="120"/>
        <v>0</v>
      </c>
      <c r="AN188" s="5">
        <f t="shared" si="107"/>
        <v>8</v>
      </c>
    </row>
    <row r="189" spans="1:40" s="5" customFormat="1" x14ac:dyDescent="0.55000000000000004">
      <c r="C189" s="5">
        <v>1</v>
      </c>
      <c r="G189" s="5">
        <v>1</v>
      </c>
      <c r="H189" s="5">
        <f>4*3*(H187/48)</f>
        <v>31</v>
      </c>
      <c r="I189" s="15" t="s">
        <v>216</v>
      </c>
      <c r="K189" s="5">
        <f>H189*$K$6*$I$5</f>
        <v>74400</v>
      </c>
      <c r="L189" s="15">
        <v>8</v>
      </c>
      <c r="M189" s="40" t="s">
        <v>218</v>
      </c>
      <c r="Z189" s="5">
        <f t="shared" si="108"/>
        <v>1</v>
      </c>
      <c r="AA189" s="5">
        <f t="shared" si="109"/>
        <v>0</v>
      </c>
      <c r="AB189" s="5">
        <f t="shared" si="110"/>
        <v>0</v>
      </c>
      <c r="AC189" s="5">
        <f t="shared" si="111"/>
        <v>0</v>
      </c>
      <c r="AD189" s="5">
        <f t="shared" si="112"/>
        <v>0</v>
      </c>
      <c r="AE189" s="5">
        <f t="shared" si="113"/>
        <v>0</v>
      </c>
      <c r="AF189" s="5">
        <f t="shared" si="114"/>
        <v>74400</v>
      </c>
      <c r="AG189" s="5">
        <f t="shared" si="115"/>
        <v>0</v>
      </c>
      <c r="AH189" s="5">
        <f t="shared" si="116"/>
        <v>0</v>
      </c>
      <c r="AI189" s="5">
        <f t="shared" si="117"/>
        <v>0</v>
      </c>
      <c r="AJ189" s="5">
        <f t="shared" si="118"/>
        <v>0</v>
      </c>
      <c r="AK189" s="5">
        <f t="shared" si="119"/>
        <v>0</v>
      </c>
      <c r="AL189" s="5">
        <f t="shared" si="120"/>
        <v>0</v>
      </c>
      <c r="AN189" s="15">
        <f t="shared" si="107"/>
        <v>8</v>
      </c>
    </row>
    <row r="190" spans="1:40" s="5" customFormat="1" x14ac:dyDescent="0.55000000000000004">
      <c r="C190" s="15">
        <v>1</v>
      </c>
      <c r="G190" s="15">
        <v>1</v>
      </c>
      <c r="H190" s="5">
        <f>H187*3/4</f>
        <v>93</v>
      </c>
      <c r="I190" s="15" t="s">
        <v>217</v>
      </c>
      <c r="J190" s="5">
        <f>H190*480</f>
        <v>44640</v>
      </c>
      <c r="L190" s="15">
        <v>8</v>
      </c>
      <c r="M190" s="40" t="s">
        <v>288</v>
      </c>
      <c r="Z190" s="5">
        <f t="shared" si="108"/>
        <v>1</v>
      </c>
      <c r="AA190" s="5">
        <f t="shared" si="109"/>
        <v>0</v>
      </c>
      <c r="AB190" s="5">
        <f t="shared" si="110"/>
        <v>0</v>
      </c>
      <c r="AC190" s="5">
        <f t="shared" si="111"/>
        <v>0</v>
      </c>
      <c r="AD190" s="5">
        <f t="shared" si="112"/>
        <v>0</v>
      </c>
      <c r="AE190" s="5">
        <f t="shared" si="113"/>
        <v>44640</v>
      </c>
      <c r="AF190" s="5">
        <f t="shared" si="114"/>
        <v>0</v>
      </c>
      <c r="AG190" s="5">
        <f t="shared" si="115"/>
        <v>0</v>
      </c>
      <c r="AH190" s="5">
        <f t="shared" si="116"/>
        <v>0</v>
      </c>
      <c r="AI190" s="5">
        <f t="shared" si="117"/>
        <v>0</v>
      </c>
      <c r="AJ190" s="5">
        <f t="shared" si="118"/>
        <v>0</v>
      </c>
      <c r="AK190" s="5">
        <f t="shared" si="119"/>
        <v>0</v>
      </c>
      <c r="AL190" s="5">
        <f t="shared" si="120"/>
        <v>0</v>
      </c>
      <c r="AN190" s="15">
        <f t="shared" si="107"/>
        <v>8</v>
      </c>
    </row>
    <row r="191" spans="1:40" s="5" customFormat="1" x14ac:dyDescent="0.55000000000000004">
      <c r="M191" s="42"/>
      <c r="Z191" s="5">
        <f t="shared" si="108"/>
        <v>0</v>
      </c>
      <c r="AA191" s="5">
        <f t="shared" si="109"/>
        <v>0</v>
      </c>
      <c r="AB191" s="5">
        <f t="shared" si="110"/>
        <v>0</v>
      </c>
      <c r="AC191" s="5">
        <f t="shared" si="111"/>
        <v>0</v>
      </c>
      <c r="AD191" s="5">
        <f t="shared" si="112"/>
        <v>0</v>
      </c>
      <c r="AE191" s="5">
        <f t="shared" si="113"/>
        <v>0</v>
      </c>
      <c r="AF191" s="5">
        <f t="shared" si="114"/>
        <v>0</v>
      </c>
      <c r="AG191" s="5">
        <f t="shared" si="115"/>
        <v>0</v>
      </c>
      <c r="AH191" s="5">
        <f t="shared" si="116"/>
        <v>0</v>
      </c>
      <c r="AI191" s="5">
        <f t="shared" si="117"/>
        <v>0</v>
      </c>
      <c r="AJ191" s="5">
        <f t="shared" si="118"/>
        <v>0</v>
      </c>
      <c r="AK191" s="5">
        <f t="shared" si="119"/>
        <v>0</v>
      </c>
      <c r="AL191" s="5">
        <f t="shared" si="120"/>
        <v>0</v>
      </c>
      <c r="AN191" s="5">
        <f t="shared" si="107"/>
        <v>0</v>
      </c>
    </row>
    <row r="192" spans="1:40" s="5" customFormat="1" x14ac:dyDescent="0.55000000000000004">
      <c r="H192" s="12" t="s">
        <v>171</v>
      </c>
      <c r="M192" s="42"/>
      <c r="Z192" s="5">
        <f t="shared" si="108"/>
        <v>0</v>
      </c>
      <c r="AA192" s="5">
        <f t="shared" si="109"/>
        <v>0</v>
      </c>
      <c r="AB192" s="5">
        <f t="shared" si="110"/>
        <v>0</v>
      </c>
      <c r="AC192" s="5">
        <f t="shared" si="111"/>
        <v>0</v>
      </c>
      <c r="AD192" s="5">
        <f t="shared" si="112"/>
        <v>0</v>
      </c>
      <c r="AE192" s="5">
        <f t="shared" si="113"/>
        <v>0</v>
      </c>
      <c r="AF192" s="5">
        <f t="shared" si="114"/>
        <v>0</v>
      </c>
      <c r="AG192" s="5">
        <f t="shared" si="115"/>
        <v>0</v>
      </c>
      <c r="AH192" s="5">
        <f t="shared" si="116"/>
        <v>0</v>
      </c>
      <c r="AI192" s="5">
        <f t="shared" si="117"/>
        <v>0</v>
      </c>
      <c r="AJ192" s="5">
        <f t="shared" si="118"/>
        <v>0</v>
      </c>
      <c r="AK192" s="5">
        <f t="shared" si="119"/>
        <v>0</v>
      </c>
      <c r="AL192" s="5">
        <f t="shared" si="120"/>
        <v>0</v>
      </c>
      <c r="AN192" s="5">
        <f t="shared" si="107"/>
        <v>0</v>
      </c>
    </row>
    <row r="193" spans="4:40" s="5" customFormat="1" x14ac:dyDescent="0.55000000000000004">
      <c r="D193" s="5">
        <v>1</v>
      </c>
      <c r="G193" s="5">
        <v>1</v>
      </c>
      <c r="H193" s="5">
        <f>48*32/12</f>
        <v>128</v>
      </c>
      <c r="I193" s="5" t="s">
        <v>164</v>
      </c>
      <c r="K193" s="5">
        <f>$K$6*$I$5*H193</f>
        <v>307200</v>
      </c>
      <c r="L193" s="5">
        <v>8</v>
      </c>
      <c r="M193" s="41">
        <f>H193/48</f>
        <v>2.6666666666666665</v>
      </c>
      <c r="Z193" s="5">
        <f t="shared" si="108"/>
        <v>1</v>
      </c>
      <c r="AA193" s="5">
        <f t="shared" si="109"/>
        <v>0</v>
      </c>
      <c r="AB193" s="5">
        <f t="shared" si="110"/>
        <v>0</v>
      </c>
      <c r="AC193" s="5">
        <f t="shared" si="111"/>
        <v>0</v>
      </c>
      <c r="AD193" s="5">
        <f t="shared" si="112"/>
        <v>0</v>
      </c>
      <c r="AE193" s="5">
        <f t="shared" si="113"/>
        <v>0</v>
      </c>
      <c r="AF193" s="5">
        <f t="shared" si="114"/>
        <v>0</v>
      </c>
      <c r="AG193" s="5">
        <f t="shared" si="115"/>
        <v>0</v>
      </c>
      <c r="AH193" s="5">
        <f t="shared" si="116"/>
        <v>307200</v>
      </c>
      <c r="AI193" s="5">
        <f t="shared" si="117"/>
        <v>0</v>
      </c>
      <c r="AJ193" s="5">
        <f t="shared" si="118"/>
        <v>0</v>
      </c>
      <c r="AK193" s="5">
        <f t="shared" si="119"/>
        <v>0</v>
      </c>
      <c r="AL193" s="5">
        <f t="shared" si="120"/>
        <v>0</v>
      </c>
      <c r="AN193" s="5">
        <f t="shared" si="107"/>
        <v>8</v>
      </c>
    </row>
    <row r="194" spans="4:40" s="5" customFormat="1" x14ac:dyDescent="0.55000000000000004">
      <c r="D194" s="5">
        <v>1</v>
      </c>
      <c r="G194" s="5">
        <v>1</v>
      </c>
      <c r="H194" s="5">
        <f>48*32/12</f>
        <v>128</v>
      </c>
      <c r="I194" s="5" t="s">
        <v>165</v>
      </c>
      <c r="K194" s="5">
        <f>$K$6*$I$5*H194</f>
        <v>307200</v>
      </c>
      <c r="L194" s="5">
        <v>8</v>
      </c>
      <c r="M194" s="41">
        <f>H194/48</f>
        <v>2.6666666666666665</v>
      </c>
      <c r="Z194" s="5">
        <f t="shared" si="108"/>
        <v>1</v>
      </c>
      <c r="AA194" s="5">
        <f t="shared" si="109"/>
        <v>0</v>
      </c>
      <c r="AB194" s="5">
        <f t="shared" si="110"/>
        <v>0</v>
      </c>
      <c r="AC194" s="5">
        <f t="shared" si="111"/>
        <v>0</v>
      </c>
      <c r="AD194" s="5">
        <f t="shared" si="112"/>
        <v>0</v>
      </c>
      <c r="AE194" s="5">
        <f t="shared" si="113"/>
        <v>0</v>
      </c>
      <c r="AF194" s="5">
        <f t="shared" si="114"/>
        <v>0</v>
      </c>
      <c r="AG194" s="5">
        <f t="shared" si="115"/>
        <v>0</v>
      </c>
      <c r="AH194" s="5">
        <f t="shared" si="116"/>
        <v>307200</v>
      </c>
      <c r="AI194" s="5">
        <f t="shared" si="117"/>
        <v>0</v>
      </c>
      <c r="AJ194" s="5">
        <f t="shared" si="118"/>
        <v>0</v>
      </c>
      <c r="AK194" s="5">
        <f t="shared" si="119"/>
        <v>0</v>
      </c>
      <c r="AL194" s="5">
        <f t="shared" si="120"/>
        <v>0</v>
      </c>
      <c r="AN194" s="5">
        <f t="shared" si="107"/>
        <v>8</v>
      </c>
    </row>
    <row r="195" spans="4:40" s="5" customFormat="1" x14ac:dyDescent="0.55000000000000004">
      <c r="D195" s="5">
        <v>1</v>
      </c>
      <c r="G195" s="15">
        <v>1</v>
      </c>
      <c r="H195" s="5">
        <f>4*3*(H193/48)</f>
        <v>32</v>
      </c>
      <c r="I195" s="15" t="s">
        <v>216</v>
      </c>
      <c r="K195" s="5">
        <f>H195*$K$6*$I$5</f>
        <v>76800</v>
      </c>
      <c r="L195" s="15">
        <v>8</v>
      </c>
      <c r="M195" s="40" t="s">
        <v>218</v>
      </c>
      <c r="Z195" s="5">
        <f t="shared" si="108"/>
        <v>1</v>
      </c>
      <c r="AA195" s="5">
        <f t="shared" si="109"/>
        <v>0</v>
      </c>
      <c r="AB195" s="5">
        <f t="shared" si="110"/>
        <v>0</v>
      </c>
      <c r="AC195" s="5">
        <f t="shared" si="111"/>
        <v>0</v>
      </c>
      <c r="AD195" s="5">
        <f t="shared" si="112"/>
        <v>0</v>
      </c>
      <c r="AE195" s="5">
        <f t="shared" si="113"/>
        <v>0</v>
      </c>
      <c r="AF195" s="5">
        <f t="shared" si="114"/>
        <v>0</v>
      </c>
      <c r="AG195" s="5">
        <f t="shared" si="115"/>
        <v>0</v>
      </c>
      <c r="AH195" s="5">
        <f t="shared" si="116"/>
        <v>76800</v>
      </c>
      <c r="AI195" s="5">
        <f t="shared" si="117"/>
        <v>0</v>
      </c>
      <c r="AJ195" s="5">
        <f t="shared" si="118"/>
        <v>0</v>
      </c>
      <c r="AK195" s="5">
        <f t="shared" si="119"/>
        <v>0</v>
      </c>
      <c r="AL195" s="5">
        <f t="shared" si="120"/>
        <v>0</v>
      </c>
      <c r="AN195" s="5">
        <v>8</v>
      </c>
    </row>
    <row r="196" spans="4:40" s="5" customFormat="1" x14ac:dyDescent="0.55000000000000004">
      <c r="D196" s="15">
        <v>1</v>
      </c>
      <c r="G196" s="15">
        <v>1</v>
      </c>
      <c r="H196" s="5">
        <f>H193*3/4</f>
        <v>96</v>
      </c>
      <c r="I196" s="15" t="s">
        <v>217</v>
      </c>
      <c r="J196" s="5">
        <f>H196*480</f>
        <v>46080</v>
      </c>
      <c r="L196" s="15">
        <v>8</v>
      </c>
      <c r="M196" s="40" t="s">
        <v>286</v>
      </c>
      <c r="Z196" s="5">
        <f t="shared" si="108"/>
        <v>1</v>
      </c>
      <c r="AA196" s="5">
        <f t="shared" si="109"/>
        <v>0</v>
      </c>
      <c r="AB196" s="5">
        <f t="shared" si="110"/>
        <v>0</v>
      </c>
      <c r="AC196" s="5">
        <f t="shared" si="111"/>
        <v>0</v>
      </c>
      <c r="AD196" s="5">
        <f t="shared" si="112"/>
        <v>0</v>
      </c>
      <c r="AE196" s="5">
        <f t="shared" si="113"/>
        <v>0</v>
      </c>
      <c r="AF196" s="5">
        <f t="shared" si="114"/>
        <v>0</v>
      </c>
      <c r="AG196" s="5">
        <f t="shared" si="115"/>
        <v>46080</v>
      </c>
      <c r="AH196" s="5">
        <f t="shared" si="116"/>
        <v>0</v>
      </c>
      <c r="AI196" s="5">
        <f t="shared" si="117"/>
        <v>0</v>
      </c>
      <c r="AJ196" s="5">
        <f t="shared" si="118"/>
        <v>0</v>
      </c>
      <c r="AK196" s="5">
        <f t="shared" si="119"/>
        <v>0</v>
      </c>
      <c r="AL196" s="5">
        <f t="shared" si="120"/>
        <v>0</v>
      </c>
      <c r="AN196" s="5">
        <v>8</v>
      </c>
    </row>
    <row r="197" spans="4:40" s="5" customFormat="1" x14ac:dyDescent="0.55000000000000004">
      <c r="Z197" s="5">
        <f t="shared" si="108"/>
        <v>0</v>
      </c>
      <c r="AA197" s="5">
        <f t="shared" si="109"/>
        <v>0</v>
      </c>
      <c r="AB197" s="5">
        <f t="shared" si="110"/>
        <v>0</v>
      </c>
      <c r="AC197" s="5">
        <f t="shared" si="111"/>
        <v>0</v>
      </c>
      <c r="AD197" s="5">
        <f t="shared" si="112"/>
        <v>0</v>
      </c>
      <c r="AE197" s="5">
        <f t="shared" si="113"/>
        <v>0</v>
      </c>
      <c r="AF197" s="5">
        <f t="shared" si="114"/>
        <v>0</v>
      </c>
      <c r="AG197" s="5">
        <f t="shared" si="115"/>
        <v>0</v>
      </c>
      <c r="AH197" s="5">
        <f t="shared" si="116"/>
        <v>0</v>
      </c>
      <c r="AI197" s="5">
        <f t="shared" si="117"/>
        <v>0</v>
      </c>
      <c r="AJ197" s="5">
        <f t="shared" si="118"/>
        <v>0</v>
      </c>
      <c r="AK197" s="5">
        <f t="shared" si="119"/>
        <v>0</v>
      </c>
      <c r="AL197" s="5">
        <f t="shared" si="120"/>
        <v>0</v>
      </c>
      <c r="AN197" s="5">
        <f>L197</f>
        <v>0</v>
      </c>
    </row>
    <row r="198" spans="4:40" s="5" customFormat="1" x14ac:dyDescent="0.55000000000000004">
      <c r="H198" s="12" t="s">
        <v>172</v>
      </c>
      <c r="Z198" s="5">
        <f t="shared" si="108"/>
        <v>0</v>
      </c>
      <c r="AA198" s="5">
        <f t="shared" si="109"/>
        <v>0</v>
      </c>
      <c r="AB198" s="5">
        <f t="shared" si="110"/>
        <v>0</v>
      </c>
      <c r="AC198" s="5">
        <f t="shared" si="111"/>
        <v>0</v>
      </c>
      <c r="AD198" s="5">
        <f t="shared" si="112"/>
        <v>0</v>
      </c>
      <c r="AE198" s="5">
        <f t="shared" si="113"/>
        <v>0</v>
      </c>
      <c r="AF198" s="5">
        <f t="shared" si="114"/>
        <v>0</v>
      </c>
      <c r="AG198" s="5">
        <f t="shared" si="115"/>
        <v>0</v>
      </c>
      <c r="AH198" s="5">
        <f t="shared" si="116"/>
        <v>0</v>
      </c>
      <c r="AI198" s="5">
        <f t="shared" si="117"/>
        <v>0</v>
      </c>
      <c r="AJ198" s="5">
        <f t="shared" si="118"/>
        <v>0</v>
      </c>
      <c r="AK198" s="5">
        <f t="shared" si="119"/>
        <v>0</v>
      </c>
      <c r="AL198" s="5">
        <f t="shared" si="120"/>
        <v>0</v>
      </c>
      <c r="AN198" s="5">
        <f>L198</f>
        <v>0</v>
      </c>
    </row>
    <row r="199" spans="4:40" s="5" customFormat="1" x14ac:dyDescent="0.55000000000000004">
      <c r="E199" s="5">
        <v>1</v>
      </c>
      <c r="G199" s="5">
        <v>1</v>
      </c>
      <c r="H199" s="5">
        <v>48</v>
      </c>
      <c r="I199" s="5" t="s">
        <v>164</v>
      </c>
      <c r="K199" s="5">
        <f>$K$6*$I$5*H199</f>
        <v>115200</v>
      </c>
      <c r="L199" s="5">
        <v>8</v>
      </c>
      <c r="M199" s="40">
        <f>H199/48</f>
        <v>1</v>
      </c>
      <c r="Z199" s="5">
        <f t="shared" si="108"/>
        <v>1</v>
      </c>
      <c r="AA199" s="5">
        <f t="shared" si="109"/>
        <v>0</v>
      </c>
      <c r="AB199" s="5">
        <f t="shared" si="110"/>
        <v>0</v>
      </c>
      <c r="AC199" s="5">
        <f t="shared" si="111"/>
        <v>0</v>
      </c>
      <c r="AD199" s="5">
        <f t="shared" si="112"/>
        <v>0</v>
      </c>
      <c r="AE199" s="5">
        <f t="shared" si="113"/>
        <v>0</v>
      </c>
      <c r="AF199" s="5">
        <f t="shared" si="114"/>
        <v>0</v>
      </c>
      <c r="AG199" s="5">
        <f t="shared" si="115"/>
        <v>0</v>
      </c>
      <c r="AH199" s="5">
        <f t="shared" si="116"/>
        <v>0</v>
      </c>
      <c r="AI199" s="5">
        <f t="shared" si="117"/>
        <v>0</v>
      </c>
      <c r="AJ199" s="5">
        <f t="shared" si="118"/>
        <v>115200</v>
      </c>
      <c r="AK199" s="5">
        <f t="shared" si="119"/>
        <v>0</v>
      </c>
      <c r="AL199" s="5">
        <f t="shared" si="120"/>
        <v>0</v>
      </c>
      <c r="AN199" s="5">
        <f>L199</f>
        <v>8</v>
      </c>
    </row>
    <row r="200" spans="4:40" s="5" customFormat="1" x14ac:dyDescent="0.55000000000000004">
      <c r="E200" s="5">
        <v>1</v>
      </c>
      <c r="G200" s="5">
        <v>1</v>
      </c>
      <c r="H200" s="5">
        <v>48</v>
      </c>
      <c r="I200" s="5" t="s">
        <v>165</v>
      </c>
      <c r="K200" s="5">
        <f>$K$6*$I$5*H200</f>
        <v>115200</v>
      </c>
      <c r="L200" s="5">
        <v>8</v>
      </c>
      <c r="M200" s="40">
        <f>H200/48</f>
        <v>1</v>
      </c>
      <c r="Z200" s="5">
        <f t="shared" si="108"/>
        <v>1</v>
      </c>
      <c r="AA200" s="5">
        <f t="shared" si="109"/>
        <v>0</v>
      </c>
      <c r="AB200" s="5">
        <f t="shared" si="110"/>
        <v>0</v>
      </c>
      <c r="AC200" s="5">
        <f t="shared" si="111"/>
        <v>0</v>
      </c>
      <c r="AD200" s="5">
        <f t="shared" si="112"/>
        <v>0</v>
      </c>
      <c r="AE200" s="5">
        <f t="shared" si="113"/>
        <v>0</v>
      </c>
      <c r="AF200" s="5">
        <f t="shared" si="114"/>
        <v>0</v>
      </c>
      <c r="AG200" s="5">
        <f t="shared" si="115"/>
        <v>0</v>
      </c>
      <c r="AH200" s="5">
        <f t="shared" si="116"/>
        <v>0</v>
      </c>
      <c r="AI200" s="5">
        <f t="shared" si="117"/>
        <v>0</v>
      </c>
      <c r="AJ200" s="5">
        <f t="shared" si="118"/>
        <v>115200</v>
      </c>
      <c r="AK200" s="5">
        <f t="shared" si="119"/>
        <v>0</v>
      </c>
      <c r="AL200" s="5">
        <f t="shared" si="120"/>
        <v>0</v>
      </c>
      <c r="AN200" s="5">
        <f>L200</f>
        <v>8</v>
      </c>
    </row>
    <row r="201" spans="4:40" s="5" customFormat="1" x14ac:dyDescent="0.55000000000000004">
      <c r="E201" s="5">
        <v>1</v>
      </c>
      <c r="G201" s="15">
        <v>1</v>
      </c>
      <c r="H201" s="5">
        <f>4*3*(H199/48)</f>
        <v>12</v>
      </c>
      <c r="I201" s="15" t="s">
        <v>216</v>
      </c>
      <c r="K201" s="5">
        <f>H201*$K$6*$I$5</f>
        <v>28800</v>
      </c>
      <c r="L201" s="15">
        <v>8</v>
      </c>
      <c r="M201" s="40" t="s">
        <v>218</v>
      </c>
      <c r="Z201" s="5">
        <f t="shared" si="108"/>
        <v>1</v>
      </c>
      <c r="AA201" s="5">
        <f t="shared" si="109"/>
        <v>0</v>
      </c>
      <c r="AB201" s="5">
        <f t="shared" si="110"/>
        <v>0</v>
      </c>
      <c r="AC201" s="5">
        <f t="shared" si="111"/>
        <v>0</v>
      </c>
      <c r="AD201" s="5">
        <f t="shared" si="112"/>
        <v>0</v>
      </c>
      <c r="AE201" s="5">
        <f t="shared" si="113"/>
        <v>0</v>
      </c>
      <c r="AF201" s="5">
        <f t="shared" si="114"/>
        <v>0</v>
      </c>
      <c r="AG201" s="5">
        <f t="shared" si="115"/>
        <v>0</v>
      </c>
      <c r="AH201" s="5">
        <f t="shared" si="116"/>
        <v>0</v>
      </c>
      <c r="AI201" s="5">
        <f t="shared" si="117"/>
        <v>0</v>
      </c>
      <c r="AJ201" s="5">
        <f t="shared" si="118"/>
        <v>28800</v>
      </c>
      <c r="AK201" s="5">
        <f t="shared" si="119"/>
        <v>0</v>
      </c>
      <c r="AL201" s="5">
        <f t="shared" si="120"/>
        <v>0</v>
      </c>
      <c r="AN201" s="5">
        <v>8</v>
      </c>
    </row>
    <row r="202" spans="4:40" s="5" customFormat="1" x14ac:dyDescent="0.55000000000000004">
      <c r="E202" s="15">
        <v>1</v>
      </c>
      <c r="G202" s="15">
        <v>1</v>
      </c>
      <c r="H202" s="5">
        <f>H199*3/4</f>
        <v>36</v>
      </c>
      <c r="I202" s="15" t="s">
        <v>217</v>
      </c>
      <c r="J202" s="5">
        <f>H202*480</f>
        <v>17280</v>
      </c>
      <c r="L202" s="15">
        <v>8</v>
      </c>
      <c r="M202" s="40" t="s">
        <v>237</v>
      </c>
      <c r="Z202" s="5">
        <f t="shared" si="108"/>
        <v>1</v>
      </c>
      <c r="AA202" s="5">
        <f t="shared" si="109"/>
        <v>0</v>
      </c>
      <c r="AB202" s="5">
        <f t="shared" si="110"/>
        <v>0</v>
      </c>
      <c r="AC202" s="5">
        <f t="shared" si="111"/>
        <v>0</v>
      </c>
      <c r="AD202" s="5">
        <f t="shared" si="112"/>
        <v>0</v>
      </c>
      <c r="AE202" s="5">
        <f t="shared" si="113"/>
        <v>0</v>
      </c>
      <c r="AF202" s="5">
        <f t="shared" si="114"/>
        <v>0</v>
      </c>
      <c r="AG202" s="5">
        <f t="shared" si="115"/>
        <v>0</v>
      </c>
      <c r="AH202" s="5">
        <f t="shared" si="116"/>
        <v>0</v>
      </c>
      <c r="AI202" s="5">
        <f t="shared" si="117"/>
        <v>17280</v>
      </c>
      <c r="AJ202" s="5">
        <f t="shared" si="118"/>
        <v>0</v>
      </c>
      <c r="AK202" s="5">
        <f t="shared" si="119"/>
        <v>0</v>
      </c>
      <c r="AL202" s="5">
        <f t="shared" si="120"/>
        <v>0</v>
      </c>
      <c r="AN202" s="5">
        <f t="shared" ref="AN202:AN205" si="121">L202</f>
        <v>8</v>
      </c>
    </row>
    <row r="203" spans="4:40" s="5" customFormat="1" x14ac:dyDescent="0.55000000000000004">
      <c r="H203" s="12" t="s">
        <v>173</v>
      </c>
      <c r="Z203" s="5">
        <f t="shared" si="108"/>
        <v>0</v>
      </c>
      <c r="AA203" s="5">
        <f t="shared" si="109"/>
        <v>0</v>
      </c>
      <c r="AB203" s="5">
        <f t="shared" si="110"/>
        <v>0</v>
      </c>
      <c r="AC203" s="5">
        <f t="shared" si="111"/>
        <v>0</v>
      </c>
      <c r="AD203" s="5">
        <f t="shared" si="112"/>
        <v>0</v>
      </c>
      <c r="AE203" s="5">
        <f t="shared" si="113"/>
        <v>0</v>
      </c>
      <c r="AF203" s="5">
        <f t="shared" si="114"/>
        <v>0</v>
      </c>
      <c r="AG203" s="5">
        <f t="shared" si="115"/>
        <v>0</v>
      </c>
      <c r="AH203" s="5">
        <f t="shared" si="116"/>
        <v>0</v>
      </c>
      <c r="AI203" s="5">
        <f t="shared" si="117"/>
        <v>0</v>
      </c>
      <c r="AJ203" s="5">
        <f t="shared" si="118"/>
        <v>0</v>
      </c>
      <c r="AK203" s="5">
        <f t="shared" si="119"/>
        <v>0</v>
      </c>
      <c r="AL203" s="5">
        <f t="shared" si="120"/>
        <v>0</v>
      </c>
      <c r="AN203" s="5">
        <f t="shared" si="121"/>
        <v>0</v>
      </c>
    </row>
    <row r="204" spans="4:40" s="5" customFormat="1" x14ac:dyDescent="0.55000000000000004">
      <c r="F204" s="5">
        <v>1</v>
      </c>
      <c r="G204" s="5">
        <v>1</v>
      </c>
      <c r="H204" s="5">
        <f>48*9/12</f>
        <v>36</v>
      </c>
      <c r="I204" s="5" t="s">
        <v>164</v>
      </c>
      <c r="K204" s="5">
        <f>$K$6*$I$5*H204</f>
        <v>86400</v>
      </c>
      <c r="L204" s="5">
        <v>8</v>
      </c>
      <c r="M204" s="40">
        <f>H204/48</f>
        <v>0.75</v>
      </c>
      <c r="Z204" s="5">
        <f t="shared" si="108"/>
        <v>1</v>
      </c>
      <c r="AA204" s="5">
        <f t="shared" si="109"/>
        <v>0</v>
      </c>
      <c r="AB204" s="5">
        <f t="shared" si="110"/>
        <v>0</v>
      </c>
      <c r="AC204" s="5">
        <f t="shared" si="111"/>
        <v>0</v>
      </c>
      <c r="AD204" s="5">
        <f t="shared" si="112"/>
        <v>0</v>
      </c>
      <c r="AE204" s="5">
        <f t="shared" si="113"/>
        <v>0</v>
      </c>
      <c r="AF204" s="5">
        <f t="shared" si="114"/>
        <v>0</v>
      </c>
      <c r="AG204" s="5">
        <f t="shared" si="115"/>
        <v>0</v>
      </c>
      <c r="AH204" s="5">
        <f t="shared" si="116"/>
        <v>0</v>
      </c>
      <c r="AI204" s="5">
        <f t="shared" si="117"/>
        <v>0</v>
      </c>
      <c r="AJ204" s="5">
        <f t="shared" si="118"/>
        <v>0</v>
      </c>
      <c r="AK204" s="5">
        <f t="shared" si="119"/>
        <v>0</v>
      </c>
      <c r="AL204" s="5">
        <f t="shared" si="120"/>
        <v>86400</v>
      </c>
      <c r="AN204" s="5">
        <f t="shared" si="121"/>
        <v>8</v>
      </c>
    </row>
    <row r="205" spans="4:40" s="5" customFormat="1" x14ac:dyDescent="0.55000000000000004">
      <c r="F205" s="5">
        <v>1</v>
      </c>
      <c r="G205" s="5">
        <v>1</v>
      </c>
      <c r="H205" s="5">
        <f>48*9/12</f>
        <v>36</v>
      </c>
      <c r="I205" s="5" t="s">
        <v>165</v>
      </c>
      <c r="K205" s="5">
        <f>$K$6*$I$5*H205</f>
        <v>86400</v>
      </c>
      <c r="L205" s="5">
        <v>8</v>
      </c>
      <c r="M205" s="40">
        <f>H205/48</f>
        <v>0.75</v>
      </c>
      <c r="Z205" s="5">
        <f t="shared" si="108"/>
        <v>1</v>
      </c>
      <c r="AA205" s="5">
        <f t="shared" si="109"/>
        <v>0</v>
      </c>
      <c r="AB205" s="5">
        <f t="shared" si="110"/>
        <v>0</v>
      </c>
      <c r="AC205" s="5">
        <f t="shared" si="111"/>
        <v>0</v>
      </c>
      <c r="AD205" s="5">
        <f t="shared" si="112"/>
        <v>0</v>
      </c>
      <c r="AE205" s="5">
        <f t="shared" si="113"/>
        <v>0</v>
      </c>
      <c r="AF205" s="5">
        <f t="shared" si="114"/>
        <v>0</v>
      </c>
      <c r="AG205" s="5">
        <f t="shared" si="115"/>
        <v>0</v>
      </c>
      <c r="AH205" s="5">
        <f t="shared" si="116"/>
        <v>0</v>
      </c>
      <c r="AI205" s="5">
        <f t="shared" si="117"/>
        <v>0</v>
      </c>
      <c r="AJ205" s="5">
        <f t="shared" si="118"/>
        <v>0</v>
      </c>
      <c r="AK205" s="5">
        <f t="shared" si="119"/>
        <v>0</v>
      </c>
      <c r="AL205" s="5">
        <f t="shared" si="120"/>
        <v>86400</v>
      </c>
      <c r="AN205" s="5">
        <f t="shared" si="121"/>
        <v>8</v>
      </c>
    </row>
    <row r="206" spans="4:40" s="5" customFormat="1" x14ac:dyDescent="0.55000000000000004">
      <c r="F206" s="5">
        <v>1</v>
      </c>
      <c r="G206" s="15">
        <v>1</v>
      </c>
      <c r="H206" s="5">
        <f>4*3*(H204/48)</f>
        <v>9</v>
      </c>
      <c r="I206" s="15" t="s">
        <v>216</v>
      </c>
      <c r="K206" s="5">
        <f>H206*$K$6*$I$5</f>
        <v>21600</v>
      </c>
      <c r="L206" s="15">
        <v>8</v>
      </c>
      <c r="M206" s="40" t="s">
        <v>218</v>
      </c>
      <c r="Z206" s="5">
        <f t="shared" si="108"/>
        <v>1</v>
      </c>
      <c r="AA206" s="5">
        <f t="shared" si="109"/>
        <v>0</v>
      </c>
      <c r="AB206" s="5">
        <f t="shared" si="110"/>
        <v>0</v>
      </c>
      <c r="AC206" s="5">
        <f t="shared" si="111"/>
        <v>0</v>
      </c>
      <c r="AD206" s="5">
        <f t="shared" si="112"/>
        <v>0</v>
      </c>
      <c r="AE206" s="5">
        <f t="shared" si="113"/>
        <v>0</v>
      </c>
      <c r="AF206" s="5">
        <f t="shared" si="114"/>
        <v>0</v>
      </c>
      <c r="AG206" s="5">
        <f t="shared" si="115"/>
        <v>0</v>
      </c>
      <c r="AH206" s="5">
        <f t="shared" si="116"/>
        <v>0</v>
      </c>
      <c r="AI206" s="5">
        <f t="shared" si="117"/>
        <v>0</v>
      </c>
      <c r="AJ206" s="5">
        <f t="shared" si="118"/>
        <v>0</v>
      </c>
      <c r="AK206" s="5">
        <f t="shared" si="119"/>
        <v>0</v>
      </c>
      <c r="AL206" s="5">
        <f t="shared" si="120"/>
        <v>21600</v>
      </c>
      <c r="AN206" s="5">
        <v>8</v>
      </c>
    </row>
    <row r="207" spans="4:40" s="5" customFormat="1" x14ac:dyDescent="0.55000000000000004">
      <c r="F207" s="15">
        <v>1</v>
      </c>
      <c r="G207" s="15">
        <v>1</v>
      </c>
      <c r="H207" s="5">
        <f>H204*3/4</f>
        <v>27</v>
      </c>
      <c r="I207" s="15" t="s">
        <v>217</v>
      </c>
      <c r="J207" s="5">
        <f>H207*480</f>
        <v>12960</v>
      </c>
      <c r="L207" s="15">
        <v>8</v>
      </c>
      <c r="M207" s="40" t="s">
        <v>237</v>
      </c>
      <c r="Z207" s="5">
        <f t="shared" si="108"/>
        <v>1</v>
      </c>
      <c r="AA207" s="5">
        <f t="shared" si="109"/>
        <v>0</v>
      </c>
      <c r="AB207" s="5">
        <f t="shared" si="110"/>
        <v>0</v>
      </c>
      <c r="AC207" s="5">
        <f t="shared" si="111"/>
        <v>0</v>
      </c>
      <c r="AD207" s="5">
        <f t="shared" si="112"/>
        <v>0</v>
      </c>
      <c r="AE207" s="5">
        <f t="shared" si="113"/>
        <v>0</v>
      </c>
      <c r="AF207" s="5">
        <f t="shared" si="114"/>
        <v>0</v>
      </c>
      <c r="AG207" s="5">
        <f t="shared" si="115"/>
        <v>0</v>
      </c>
      <c r="AH207" s="5">
        <f t="shared" si="116"/>
        <v>0</v>
      </c>
      <c r="AI207" s="5">
        <f t="shared" si="117"/>
        <v>0</v>
      </c>
      <c r="AJ207" s="5">
        <f t="shared" si="118"/>
        <v>0</v>
      </c>
      <c r="AK207" s="5">
        <f t="shared" si="119"/>
        <v>12960</v>
      </c>
      <c r="AL207" s="5">
        <f t="shared" si="120"/>
        <v>0</v>
      </c>
      <c r="AN207" s="5">
        <v>8</v>
      </c>
    </row>
    <row r="208" spans="4:40" s="5" customFormat="1" x14ac:dyDescent="0.55000000000000004">
      <c r="AB208" s="5">
        <f t="shared" si="84"/>
        <v>0</v>
      </c>
    </row>
    <row r="209" spans="11:28" s="5" customFormat="1" x14ac:dyDescent="0.55000000000000004">
      <c r="AB209" s="5">
        <f t="shared" si="84"/>
        <v>0</v>
      </c>
    </row>
    <row r="210" spans="11:28" x14ac:dyDescent="0.55000000000000004">
      <c r="K210" s="5">
        <f>SUM(K176:K206)</f>
        <v>2396160</v>
      </c>
      <c r="L210" s="5"/>
      <c r="M210" s="43">
        <f>K210/K6/48/I5</f>
        <v>20.8</v>
      </c>
    </row>
    <row r="211" spans="11:28" x14ac:dyDescent="0.55000000000000004">
      <c r="K211" s="5"/>
      <c r="L211" s="5"/>
      <c r="M211" s="5" t="s">
        <v>194</v>
      </c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3" sqref="A3:H19"/>
    </sheetView>
  </sheetViews>
  <sheetFormatPr defaultRowHeight="14.05" customHeight="1" x14ac:dyDescent="0.55000000000000004"/>
  <cols>
    <col min="1" max="1" width="16.05078125" customWidth="1"/>
    <col min="2" max="8" width="10.3671875" customWidth="1"/>
    <col min="13" max="13" width="14.41796875" bestFit="1" customWidth="1"/>
  </cols>
  <sheetData>
    <row r="1" spans="1:13" ht="14.05" customHeight="1" x14ac:dyDescent="0.55000000000000004">
      <c r="A1">
        <v>1</v>
      </c>
    </row>
    <row r="2" spans="1:13" ht="14.05" customHeight="1" thickBot="1" x14ac:dyDescent="0.6"/>
    <row r="3" spans="1:13" ht="14.4" x14ac:dyDescent="0.55000000000000004">
      <c r="A3" s="95"/>
      <c r="B3" s="97" t="s">
        <v>182</v>
      </c>
      <c r="C3" s="97" t="s">
        <v>183</v>
      </c>
      <c r="D3" s="97" t="s">
        <v>184</v>
      </c>
      <c r="E3" s="97" t="s">
        <v>185</v>
      </c>
      <c r="F3" s="97" t="s">
        <v>186</v>
      </c>
      <c r="G3" s="91" t="s">
        <v>187</v>
      </c>
      <c r="H3" s="93" t="s">
        <v>114</v>
      </c>
    </row>
    <row r="4" spans="1:13" ht="14.7" thickBot="1" x14ac:dyDescent="0.6">
      <c r="A4" s="96"/>
      <c r="B4" s="98"/>
      <c r="C4" s="98"/>
      <c r="D4" s="98"/>
      <c r="E4" s="98"/>
      <c r="F4" s="98"/>
      <c r="G4" s="92"/>
      <c r="H4" s="94"/>
      <c r="M4" s="33"/>
    </row>
    <row r="5" spans="1:13" ht="14.7" thickBot="1" x14ac:dyDescent="0.6">
      <c r="A5" s="16" t="s">
        <v>81</v>
      </c>
      <c r="B5" s="17">
        <f>SUMIFS('Detailed Budget'!AA1:'Detailed Budget'!AA224,'Detailed Budget'!Z1:'Detailed Budget'!Z224,$A$1,'Detailed Budget'!AN1:'Detailed Budget'!AN224,$I5)+SUMIFS('Detailed Budget'!AB1:'Detailed Budget'!AB224,'Detailed Budget'!Z1:'Detailed Budget'!Z224,$A$1,'Detailed Budget'!AN1:'Detailed Budget'!AN224,$I5)</f>
        <v>0</v>
      </c>
      <c r="C5" s="17">
        <f>SUMIFS('Detailed Budget'!AC1:'Detailed Budget'!AC224,'Detailed Budget'!Z1:'Detailed Budget'!Z224,$A$1,'Detailed Budget'!AN1:'Detailed Budget'!AN224,$I5)+SUMIFS('Detailed Budget'!AD1:'Detailed Budget'!AD224,'Detailed Budget'!Z1:'Detailed Budget'!Z224,$A$1,'Detailed Budget'!AN1:'Detailed Budget'!AN224,$I5)</f>
        <v>0</v>
      </c>
      <c r="D5" s="17">
        <f>SUMIFS('Detailed Budget'!AE1:'Detailed Budget'!AE224,'Detailed Budget'!Z1:'Detailed Budget'!Z224,$A$1,'Detailed Budget'!AN1:'Detailed Budget'!AN224,$I5)+SUMIFS('Detailed Budget'!AF1:'Detailed Budget'!AF224,'Detailed Budget'!Z1:'Detailed Budget'!Z224,$A$1,'Detailed Budget'!AN1:'Detailed Budget'!AN224,$I5)</f>
        <v>604470.4</v>
      </c>
      <c r="E5" s="17">
        <f>SUMIFS('Detailed Budget'!AG1:'Detailed Budget'!AG224,'Detailed Budget'!Z1:'Detailed Budget'!Z224,$A$1,'Detailed Budget'!AN1:'Detailed Budget'!AN224,$I5)+SUMIFS('Detailed Budget'!AH1:'Detailed Budget'!AH224,'Detailed Budget'!Z1:'Detailed Budget'!Z224,$A$1,'Detailed Budget'!AN1:'Detailed Budget'!AN224,$I5)</f>
        <v>1610209.1133800538</v>
      </c>
      <c r="F5" s="17">
        <f>SUMIFS('Detailed Budget'!AI1:'Detailed Budget'!AI224,'Detailed Budget'!Z1:'Detailed Budget'!Z224,$A$1,'Detailed Budget'!AN1:'Detailed Budget'!AN224,$I5)+SUMIFS('Detailed Budget'!AJ1:'Detailed Budget'!AJ224,'Detailed Budget'!Z1:'Detailed Budget'!Z224,$A$1,'Detailed Budget'!AN1:'Detailed Budget'!AN224,$I5)</f>
        <v>402508.79999999999</v>
      </c>
      <c r="G5" s="17">
        <f>SUMIFS('Detailed Budget'!AK15:'Detailed Budget'!AK224,'Detailed Budget'!Z15:'Detailed Budget'!Z224,$A$1,'Detailed Budget'!AN15:'Detailed Budget'!AN224,$I5)+SUMIFS('Detailed Budget'!AL15:'Detailed Budget'!AL224,'Detailed Budget'!Z15:'Detailed Budget'!Z224,$A$1,'Detailed Budget'!AN15:'Detailed Budget'!AN224,$I5)</f>
        <v>0</v>
      </c>
      <c r="H5" s="18">
        <f>SUM(B5:G5)</f>
        <v>2617188.3133800537</v>
      </c>
      <c r="I5" s="67">
        <v>1</v>
      </c>
      <c r="L5" s="1"/>
      <c r="M5" s="33"/>
    </row>
    <row r="6" spans="1:13" ht="14.7" thickBot="1" x14ac:dyDescent="0.6">
      <c r="A6" s="16" t="s">
        <v>82</v>
      </c>
      <c r="B6" s="17">
        <f>SUMIFS('Detailed Budget'!AA2:'Detailed Budget'!AA225,'Detailed Budget'!Z2:'Detailed Budget'!Z225,$A$1,'Detailed Budget'!AN2:'Detailed Budget'!AN225,$I6)+SUMIFS('Detailed Budget'!AB2:'Detailed Budget'!AB225,'Detailed Budget'!Z2:'Detailed Budget'!Z225,$A$1,'Detailed Budget'!AN2:'Detailed Budget'!AN225,$I6)</f>
        <v>0</v>
      </c>
      <c r="C6" s="17">
        <f>SUMIFS('Detailed Budget'!AC2:'Detailed Budget'!AC225,'Detailed Budget'!Z2:'Detailed Budget'!Z225,$A$1,'Detailed Budget'!AN2:'Detailed Budget'!AN225,$I6)+SUMIFS('Detailed Budget'!AD2:'Detailed Budget'!AD225,'Detailed Budget'!Z2:'Detailed Budget'!Z225,$A$1,'Detailed Budget'!AN2:'Detailed Budget'!AN225,$I6)</f>
        <v>0</v>
      </c>
      <c r="D6" s="17">
        <f>SUMIFS('Detailed Budget'!AE2:'Detailed Budget'!AE225,'Detailed Budget'!Z2:'Detailed Budget'!Z225,$A$1,'Detailed Budget'!AN2:'Detailed Budget'!AN225,$I6)+SUMIFS('Detailed Budget'!AF2:'Detailed Budget'!AF225,'Detailed Budget'!Z2:'Detailed Budget'!Z225,$A$1,'Detailed Budget'!AN2:'Detailed Budget'!AN225,$I6)</f>
        <v>1156800</v>
      </c>
      <c r="E6" s="17">
        <f>SUMIFS('Detailed Budget'!AG2:'Detailed Budget'!AG225,'Detailed Budget'!Z2:'Detailed Budget'!Z225,$A$1,'Detailed Budget'!AN2:'Detailed Budget'!AN225,$I6)+SUMIFS('Detailed Budget'!AH2:'Detailed Budget'!AH225,'Detailed Budget'!Z2:'Detailed Budget'!Z225,$A$1,'Detailed Budget'!AN2:'Detailed Budget'!AN225,$I6)</f>
        <v>850000</v>
      </c>
      <c r="F6" s="17">
        <f>SUMIFS('Detailed Budget'!AI2:'Detailed Budget'!AI225,'Detailed Budget'!Z2:'Detailed Budget'!Z225,$A$1,'Detailed Budget'!AN2:'Detailed Budget'!AN225,$I6)+SUMIFS('Detailed Budget'!AJ2:'Detailed Budget'!AJ225,'Detailed Budget'!Z2:'Detailed Budget'!Z225,$A$1,'Detailed Budget'!AN2:'Detailed Budget'!AN225,$I6)</f>
        <v>425000</v>
      </c>
      <c r="G6" s="17">
        <f>SUMIFS('Detailed Budget'!AK16:'Detailed Budget'!AK225,'Detailed Budget'!Z16:'Detailed Budget'!Z225,$A$1,'Detailed Budget'!AN16:'Detailed Budget'!AN225,$I6)+SUMIFS('Detailed Budget'!AL16:'Detailed Budget'!AL225,'Detailed Budget'!Z16:'Detailed Budget'!Z225,$A$1,'Detailed Budget'!AN16:'Detailed Budget'!AN225,$I6)</f>
        <v>0</v>
      </c>
      <c r="H6" s="18">
        <f t="shared" ref="H6:H15" si="0">SUM(B6:G6)</f>
        <v>2431800</v>
      </c>
      <c r="I6" s="67">
        <v>2</v>
      </c>
      <c r="L6" s="1"/>
      <c r="M6" s="33"/>
    </row>
    <row r="7" spans="1:13" ht="14.7" thickBot="1" x14ac:dyDescent="0.6">
      <c r="A7" s="16" t="s">
        <v>83</v>
      </c>
      <c r="B7" s="17">
        <f>SUMIFS('Detailed Budget'!AA3:'Detailed Budget'!AA226,'Detailed Budget'!Z3:'Detailed Budget'!Z226,$A$1,'Detailed Budget'!AN3:'Detailed Budget'!AN226,$I7)+SUMIFS('Detailed Budget'!AB3:'Detailed Budget'!AB226,'Detailed Budget'!Z3:'Detailed Budget'!Z226,$A$1,'Detailed Budget'!AN3:'Detailed Budget'!AN226,$I7)</f>
        <v>0</v>
      </c>
      <c r="C7" s="17">
        <f>SUMIFS('Detailed Budget'!AC3:'Detailed Budget'!AC226,'Detailed Budget'!Z3:'Detailed Budget'!Z226,$A$1,'Detailed Budget'!AN3:'Detailed Budget'!AN226,$I7)+SUMIFS('Detailed Budget'!AD3:'Detailed Budget'!AD226,'Detailed Budget'!Z3:'Detailed Budget'!Z226,$A$1,'Detailed Budget'!AN3:'Detailed Budget'!AN226,$I7)</f>
        <v>0</v>
      </c>
      <c r="D7" s="17">
        <f>SUMIFS('Detailed Budget'!AE3:'Detailed Budget'!AE226,'Detailed Budget'!Z3:'Detailed Budget'!Z226,$A$1,'Detailed Budget'!AN3:'Detailed Budget'!AN226,$I7)+SUMIFS('Detailed Budget'!AF3:'Detailed Budget'!AF226,'Detailed Budget'!Z3:'Detailed Budget'!Z226,$A$1,'Detailed Budget'!AN3:'Detailed Budget'!AN226,$I7)</f>
        <v>979728</v>
      </c>
      <c r="E7" s="17">
        <f>SUMIFS('Detailed Budget'!AG3:'Detailed Budget'!AG226,'Detailed Budget'!Z3:'Detailed Budget'!Z226,$A$1,'Detailed Budget'!AN3:'Detailed Budget'!AN226,$I7)+SUMIFS('Detailed Budget'!AH3:'Detailed Budget'!AH226,'Detailed Budget'!Z3:'Detailed Budget'!Z226,$A$1,'Detailed Budget'!AN3:'Detailed Budget'!AN226,$I7)</f>
        <v>189184</v>
      </c>
      <c r="F7" s="17">
        <f>SUMIFS('Detailed Budget'!AI3:'Detailed Budget'!AI226,'Detailed Budget'!Z3:'Detailed Budget'!Z226,$A$1,'Detailed Budget'!AN3:'Detailed Budget'!AN226,$I7)+SUMIFS('Detailed Budget'!AJ3:'Detailed Budget'!AJ226,'Detailed Budget'!Z3:'Detailed Budget'!Z226,$A$1,'Detailed Budget'!AN3:'Detailed Budget'!AN226,$I7)</f>
        <v>0</v>
      </c>
      <c r="G7" s="17">
        <f>SUMIFS('Detailed Budget'!AK17:'Detailed Budget'!AK226,'Detailed Budget'!Z17:'Detailed Budget'!Z226,$A$1,'Detailed Budget'!AN17:'Detailed Budget'!AN226,$I7)+SUMIFS('Detailed Budget'!AL17:'Detailed Budget'!AL226,'Detailed Budget'!Z17:'Detailed Budget'!Z226,$A$1,'Detailed Budget'!AN17:'Detailed Budget'!AN226,$I7)</f>
        <v>4608</v>
      </c>
      <c r="H7" s="18">
        <f t="shared" si="0"/>
        <v>1173520</v>
      </c>
      <c r="I7" s="67">
        <v>3</v>
      </c>
      <c r="J7" s="4"/>
      <c r="L7" s="1"/>
      <c r="M7" s="33"/>
    </row>
    <row r="8" spans="1:13" ht="23.7" thickBot="1" x14ac:dyDescent="0.6">
      <c r="A8" s="16" t="s">
        <v>84</v>
      </c>
      <c r="B8" s="17">
        <f>SUMIFS('Detailed Budget'!AA4:'Detailed Budget'!AA227,'Detailed Budget'!Z4:'Detailed Budget'!Z227,$A$1,'Detailed Budget'!AN4:'Detailed Budget'!AN227,$I8)+SUMIFS('Detailed Budget'!AB4:'Detailed Budget'!AB227,'Detailed Budget'!Z4:'Detailed Budget'!Z227,$A$1,'Detailed Budget'!AN4:'Detailed Budget'!AN227,$I8)</f>
        <v>0</v>
      </c>
      <c r="C8" s="17">
        <f>SUMIFS('Detailed Budget'!AC4:'Detailed Budget'!AC227,'Detailed Budget'!Z4:'Detailed Budget'!Z227,$A$1,'Detailed Budget'!AN4:'Detailed Budget'!AN227,$I8)+SUMIFS('Detailed Budget'!AD4:'Detailed Budget'!AD227,'Detailed Budget'!Z4:'Detailed Budget'!Z227,$A$1,'Detailed Budget'!AN4:'Detailed Budget'!AN227,$I8)</f>
        <v>0</v>
      </c>
      <c r="D8" s="17">
        <f>SUMIFS('Detailed Budget'!AE4:'Detailed Budget'!AE227,'Detailed Budget'!Z4:'Detailed Budget'!Z227,$A$1,'Detailed Budget'!AN4:'Detailed Budget'!AN227,$I8)+SUMIFS('Detailed Budget'!AF4:'Detailed Budget'!AF227,'Detailed Budget'!Z4:'Detailed Budget'!Z227,$A$1,'Detailed Budget'!AN4:'Detailed Budget'!AN227,$I8)</f>
        <v>0</v>
      </c>
      <c r="E8" s="17">
        <f>SUMIFS('Detailed Budget'!AG4:'Detailed Budget'!AG227,'Detailed Budget'!Z4:'Detailed Budget'!Z227,$A$1,'Detailed Budget'!AN4:'Detailed Budget'!AN227,$I8)+SUMIFS('Detailed Budget'!AH4:'Detailed Budget'!AH227,'Detailed Budget'!Z4:'Detailed Budget'!Z227,$A$1,'Detailed Budget'!AN4:'Detailed Budget'!AN227,$I8)</f>
        <v>0</v>
      </c>
      <c r="F8" s="17">
        <f>SUMIFS('Detailed Budget'!AI4:'Detailed Budget'!AI227,'Detailed Budget'!Z4:'Detailed Budget'!Z227,$A$1,'Detailed Budget'!AN4:'Detailed Budget'!AN227,$I8)+SUMIFS('Detailed Budget'!AJ4:'Detailed Budget'!AJ227,'Detailed Budget'!Z4:'Detailed Budget'!Z227,$A$1,'Detailed Budget'!AN4:'Detailed Budget'!AN227,$I8)</f>
        <v>0</v>
      </c>
      <c r="G8" s="17">
        <f>SUMIFS('Detailed Budget'!AK18:'Detailed Budget'!AK227,'Detailed Budget'!Z18:'Detailed Budget'!Z227,$A$1,'Detailed Budget'!AN18:'Detailed Budget'!AN227,$I8)+SUMIFS('Detailed Budget'!AL18:'Detailed Budget'!AL227,'Detailed Budget'!Z18:'Detailed Budget'!Z227,$A$1,'Detailed Budget'!AN18:'Detailed Budget'!AN227,$I8)</f>
        <v>0</v>
      </c>
      <c r="H8" s="18">
        <f t="shared" si="0"/>
        <v>0</v>
      </c>
      <c r="I8" s="68">
        <v>4</v>
      </c>
      <c r="J8" s="4"/>
      <c r="L8" s="1"/>
      <c r="M8" s="33"/>
    </row>
    <row r="9" spans="1:13" ht="23.7" thickBot="1" x14ac:dyDescent="0.6">
      <c r="A9" s="16" t="s">
        <v>85</v>
      </c>
      <c r="B9" s="17">
        <f>SUMIFS('Detailed Budget'!AA5:'Detailed Budget'!AA228,'Detailed Budget'!Z5:'Detailed Budget'!Z228,$A$1,'Detailed Budget'!AN5:'Detailed Budget'!AN228,$I9)+SUMIFS('Detailed Budget'!AB5:'Detailed Budget'!AB228,'Detailed Budget'!Z5:'Detailed Budget'!Z228,$A$1,'Detailed Budget'!AN5:'Detailed Budget'!AN228,$I9)</f>
        <v>0</v>
      </c>
      <c r="C9" s="17">
        <f>SUMIFS('Detailed Budget'!AC5:'Detailed Budget'!AC228,'Detailed Budget'!Z5:'Detailed Budget'!Z228,$A$1,'Detailed Budget'!AN5:'Detailed Budget'!AN228,$I9)+SUMIFS('Detailed Budget'!AD5:'Detailed Budget'!AD228,'Detailed Budget'!Z5:'Detailed Budget'!Z228,$A$1,'Detailed Budget'!AN5:'Detailed Budget'!AN228,$I9)</f>
        <v>0</v>
      </c>
      <c r="D9" s="17">
        <f>SUMIFS('Detailed Budget'!AE5:'Detailed Budget'!AE228,'Detailed Budget'!Z5:'Detailed Budget'!Z228,$A$1,'Detailed Budget'!AN5:'Detailed Budget'!AN228,$I9)+SUMIFS('Detailed Budget'!AF5:'Detailed Budget'!AF228,'Detailed Budget'!Z5:'Detailed Budget'!Z228,$A$1,'Detailed Budget'!AN5:'Detailed Budget'!AN228,$I9)</f>
        <v>128000</v>
      </c>
      <c r="E9" s="17">
        <f>SUMIFS('Detailed Budget'!AG5:'Detailed Budget'!AG228,'Detailed Budget'!Z5:'Detailed Budget'!Z228,$A$1,'Detailed Budget'!AN5:'Detailed Budget'!AN228,$I9)+SUMIFS('Detailed Budget'!AH5:'Detailed Budget'!AH228,'Detailed Budget'!Z5:'Detailed Budget'!Z228,$A$1,'Detailed Budget'!AN5:'Detailed Budget'!AN228,$I9)</f>
        <v>21216</v>
      </c>
      <c r="F9" s="17">
        <f>SUMIFS('Detailed Budget'!AI5:'Detailed Budget'!AI228,'Detailed Budget'!Z5:'Detailed Budget'!Z228,$A$1,'Detailed Budget'!AN5:'Detailed Budget'!AN228,$I9)+SUMIFS('Detailed Budget'!AJ5:'Detailed Budget'!AJ228,'Detailed Budget'!Z5:'Detailed Budget'!Z228,$A$1,'Detailed Budget'!AN5:'Detailed Budget'!AN228,$I9)</f>
        <v>2304</v>
      </c>
      <c r="G9" s="17">
        <f>SUMIFS('Detailed Budget'!AK19:'Detailed Budget'!AK228,'Detailed Budget'!Z19:'Detailed Budget'!Z228,$A$1,'Detailed Budget'!AN19:'Detailed Budget'!AN228,$I9)+SUMIFS('Detailed Budget'!AL19:'Detailed Budget'!AL228,'Detailed Budget'!Z19:'Detailed Budget'!Z228,$A$1,'Detailed Budget'!AN19:'Detailed Budget'!AN228,$I9)</f>
        <v>0</v>
      </c>
      <c r="H9" s="18">
        <f t="shared" si="0"/>
        <v>151520</v>
      </c>
      <c r="I9" s="68">
        <v>5</v>
      </c>
      <c r="J9" s="4"/>
      <c r="L9" s="1"/>
      <c r="M9" s="33"/>
    </row>
    <row r="10" spans="1:13" ht="23.7" thickBot="1" x14ac:dyDescent="0.6">
      <c r="A10" s="16" t="s">
        <v>86</v>
      </c>
      <c r="B10" s="17">
        <f>SUMIFS('Detailed Budget'!AA6:'Detailed Budget'!AA229,'Detailed Budget'!Z6:'Detailed Budget'!Z229,$A$1,'Detailed Budget'!AN6:'Detailed Budget'!AN229,$I10)+SUMIFS('Detailed Budget'!AB6:'Detailed Budget'!AB229,'Detailed Budget'!Z6:'Detailed Budget'!Z229,$A$1,'Detailed Budget'!AN6:'Detailed Budget'!AN229,$I10)</f>
        <v>0</v>
      </c>
      <c r="C10" s="17">
        <f>SUMIFS('Detailed Budget'!AC6:'Detailed Budget'!AC229,'Detailed Budget'!Z6:'Detailed Budget'!Z229,$A$1,'Detailed Budget'!AN6:'Detailed Budget'!AN229,$I10)+SUMIFS('Detailed Budget'!AD6:'Detailed Budget'!AD229,'Detailed Budget'!Z6:'Detailed Budget'!Z229,$A$1,'Detailed Budget'!AN6:'Detailed Budget'!AN229,$I10)</f>
        <v>0</v>
      </c>
      <c r="D10" s="17">
        <f>SUMIFS('Detailed Budget'!AE6:'Detailed Budget'!AE229,'Detailed Budget'!Z6:'Detailed Budget'!Z229,$A$1,'Detailed Budget'!AN6:'Detailed Budget'!AN229,$I10)+SUMIFS('Detailed Budget'!AF6:'Detailed Budget'!AF229,'Detailed Budget'!Z6:'Detailed Budget'!Z229,$A$1,'Detailed Budget'!AN6:'Detailed Budget'!AN229,$I10)</f>
        <v>0</v>
      </c>
      <c r="E10" s="17">
        <f>SUMIFS('Detailed Budget'!AG6:'Detailed Budget'!AG229,'Detailed Budget'!Z6:'Detailed Budget'!Z229,$A$1,'Detailed Budget'!AN6:'Detailed Budget'!AN229,$I10)+SUMIFS('Detailed Budget'!AH6:'Detailed Budget'!AH229,'Detailed Budget'!Z6:'Detailed Budget'!Z229,$A$1,'Detailed Budget'!AN6:'Detailed Budget'!AN229,$I10)</f>
        <v>0</v>
      </c>
      <c r="F10" s="17">
        <f>SUMIFS('Detailed Budget'!AI6:'Detailed Budget'!AI229,'Detailed Budget'!Z6:'Detailed Budget'!Z229,$A$1,'Detailed Budget'!AN6:'Detailed Budget'!AN229,$I10)+SUMIFS('Detailed Budget'!AJ6:'Detailed Budget'!AJ229,'Detailed Budget'!Z6:'Detailed Budget'!Z229,$A$1,'Detailed Budget'!AN6:'Detailed Budget'!AN229,$I10)</f>
        <v>0</v>
      </c>
      <c r="G10" s="17">
        <f>SUMIFS('Detailed Budget'!AK20:'Detailed Budget'!AK229,'Detailed Budget'!Z20:'Detailed Budget'!Z229,$A$1,'Detailed Budget'!AN20:'Detailed Budget'!AN229,$I10)+SUMIFS('Detailed Budget'!AL20:'Detailed Budget'!AL229,'Detailed Budget'!Z20:'Detailed Budget'!Z229,$A$1,'Detailed Budget'!AN20:'Detailed Budget'!AN229,$I10)</f>
        <v>0</v>
      </c>
      <c r="H10" s="18">
        <f t="shared" si="0"/>
        <v>0</v>
      </c>
      <c r="I10" s="68">
        <v>6</v>
      </c>
      <c r="J10" s="4"/>
      <c r="L10" s="1"/>
      <c r="M10" s="33"/>
    </row>
    <row r="11" spans="1:13" ht="23.7" thickBot="1" x14ac:dyDescent="0.6">
      <c r="A11" s="16" t="s">
        <v>87</v>
      </c>
      <c r="B11" s="17">
        <f>SUMIFS('Detailed Budget'!AA7:'Detailed Budget'!AA230,'Detailed Budget'!Z7:'Detailed Budget'!Z230,$A$1,'Detailed Budget'!AN7:'Detailed Budget'!AN230,$I11)+SUMIFS('Detailed Budget'!AB7:'Detailed Budget'!AB230,'Detailed Budget'!Z7:'Detailed Budget'!Z230,$A$1,'Detailed Budget'!AN7:'Detailed Budget'!AN230,$I11)</f>
        <v>0</v>
      </c>
      <c r="C11" s="17">
        <f>SUMIFS('Detailed Budget'!AC7:'Detailed Budget'!AC230,'Detailed Budget'!Z7:'Detailed Budget'!Z230,$A$1,'Detailed Budget'!AN7:'Detailed Budget'!AN230,$I11)+SUMIFS('Detailed Budget'!AD7:'Detailed Budget'!AD230,'Detailed Budget'!Z7:'Detailed Budget'!Z230,$A$1,'Detailed Budget'!AN7:'Detailed Budget'!AN230,$I11)</f>
        <v>0</v>
      </c>
      <c r="D11" s="17">
        <f>SUMIFS('Detailed Budget'!AE7:'Detailed Budget'!AE230,'Detailed Budget'!Z7:'Detailed Budget'!Z230,$A$1,'Detailed Budget'!AN7:'Detailed Budget'!AN230,$I11)+SUMIFS('Detailed Budget'!AF7:'Detailed Budget'!AF230,'Detailed Budget'!Z7:'Detailed Budget'!Z230,$A$1,'Detailed Budget'!AN7:'Detailed Budget'!AN230,$I11)</f>
        <v>0</v>
      </c>
      <c r="E11" s="17">
        <f>SUMIFS('Detailed Budget'!AG7:'Detailed Budget'!AG230,'Detailed Budget'!Z7:'Detailed Budget'!Z230,$A$1,'Detailed Budget'!AN7:'Detailed Budget'!AN230,$I11)+SUMIFS('Detailed Budget'!AH7:'Detailed Budget'!AH230,'Detailed Budget'!Z7:'Detailed Budget'!Z230,$A$1,'Detailed Budget'!AN7:'Detailed Budget'!AN230,$I11)</f>
        <v>313432</v>
      </c>
      <c r="F11" s="17">
        <f>SUMIFS('Detailed Budget'!AI7:'Detailed Budget'!AI230,'Detailed Budget'!Z7:'Detailed Budget'!Z230,$A$1,'Detailed Budget'!AN7:'Detailed Budget'!AN230,$I11)+SUMIFS('Detailed Budget'!AJ7:'Detailed Budget'!AJ230,'Detailed Budget'!Z7:'Detailed Budget'!Z230,$A$1,'Detailed Budget'!AN7:'Detailed Budget'!AN230,$I11)</f>
        <v>4608</v>
      </c>
      <c r="G11" s="17">
        <f>SUMIFS('Detailed Budget'!AK21:'Detailed Budget'!AK230,'Detailed Budget'!Z21:'Detailed Budget'!Z230,$A$1,'Detailed Budget'!AN21:'Detailed Budget'!AN230,$I11)+SUMIFS('Detailed Budget'!AL21:'Detailed Budget'!AL230,'Detailed Budget'!Z21:'Detailed Budget'!Z230,$A$1,'Detailed Budget'!AN21:'Detailed Budget'!AN230,$I11)</f>
        <v>0</v>
      </c>
      <c r="H11" s="18">
        <f t="shared" si="0"/>
        <v>318040</v>
      </c>
      <c r="I11" s="68">
        <v>7</v>
      </c>
      <c r="L11" s="1"/>
      <c r="M11" s="33"/>
    </row>
    <row r="12" spans="1:13" ht="23.7" thickBot="1" x14ac:dyDescent="0.6">
      <c r="A12" s="16" t="s">
        <v>88</v>
      </c>
      <c r="B12" s="17">
        <f>SUMIFS('Detailed Budget'!AA8:'Detailed Budget'!AA231,'Detailed Budget'!Z8:'Detailed Budget'!Z231,$A$1,'Detailed Budget'!AN8:'Detailed Budget'!AN231,$I12)+SUMIFS('Detailed Budget'!AB8:'Detailed Budget'!AB231,'Detailed Budget'!Z8:'Detailed Budget'!Z231,$A$1,'Detailed Budget'!AN8:'Detailed Budget'!AN231,$I12)</f>
        <v>327400</v>
      </c>
      <c r="C12" s="17">
        <f>SUMIFS('Detailed Budget'!AC8:'Detailed Budget'!AC231,'Detailed Budget'!Z8:'Detailed Budget'!Z231,$A$1,'Detailed Budget'!AN8:'Detailed Budget'!AN231,$I12)+SUMIFS('Detailed Budget'!AD8:'Detailed Budget'!AD231,'Detailed Budget'!Z8:'Detailed Budget'!Z231,$A$1,'Detailed Budget'!AN8:'Detailed Budget'!AN231,$I12)</f>
        <v>270720</v>
      </c>
      <c r="D12" s="17">
        <f>SUMIFS('Detailed Budget'!AE8:'Detailed Budget'!AE231,'Detailed Budget'!Z8:'Detailed Budget'!Z231,$A$1,'Detailed Budget'!AN8:'Detailed Budget'!AN231,$I12)+SUMIFS('Detailed Budget'!AF8:'Detailed Budget'!AF231,'Detailed Budget'!Z8:'Detailed Budget'!Z231,$A$1,'Detailed Budget'!AN8:'Detailed Budget'!AN231,$I12)</f>
        <v>714240</v>
      </c>
      <c r="E12" s="17">
        <f>SUMIFS('Detailed Budget'!AG8:'Detailed Budget'!AG231,'Detailed Budget'!Z8:'Detailed Budget'!Z231,$A$1,'Detailed Budget'!AN8:'Detailed Budget'!AN231,$I12)+SUMIFS('Detailed Budget'!AH8:'Detailed Budget'!AH231,'Detailed Budget'!Z8:'Detailed Budget'!Z231,$A$1,'Detailed Budget'!AN8:'Detailed Budget'!AN231,$I12)</f>
        <v>737280</v>
      </c>
      <c r="F12" s="17">
        <f>SUMIFS('Detailed Budget'!AI8:'Detailed Budget'!AI231,'Detailed Budget'!Z8:'Detailed Budget'!Z231,$A$1,'Detailed Budget'!AN8:'Detailed Budget'!AN231,$I12)+SUMIFS('Detailed Budget'!AJ8:'Detailed Budget'!AJ231,'Detailed Budget'!Z8:'Detailed Budget'!Z231,$A$1,'Detailed Budget'!AN8:'Detailed Budget'!AN231,$I12)</f>
        <v>276480</v>
      </c>
      <c r="G12" s="17">
        <f>SUMIFS('Detailed Budget'!AK22:'Detailed Budget'!AK231,'Detailed Budget'!Z22:'Detailed Budget'!Z231,$A$1,'Detailed Budget'!AN22:'Detailed Budget'!AN231,$I12)+SUMIFS('Detailed Budget'!AL22:'Detailed Budget'!AL231,'Detailed Budget'!Z22:'Detailed Budget'!Z231,$A$1,'Detailed Budget'!AN22:'Detailed Budget'!AN231,$I12)</f>
        <v>207360</v>
      </c>
      <c r="H12" s="18">
        <f t="shared" si="0"/>
        <v>2533480</v>
      </c>
      <c r="I12" s="68">
        <v>8</v>
      </c>
      <c r="L12" s="1"/>
      <c r="M12" s="33"/>
    </row>
    <row r="13" spans="1:13" ht="23.7" thickBot="1" x14ac:dyDescent="0.6">
      <c r="A13" s="16" t="s">
        <v>89</v>
      </c>
      <c r="B13" s="17">
        <f>SUMIFS('Detailed Budget'!AA9:'Detailed Budget'!AA232,'Detailed Budget'!Z9:'Detailed Budget'!Z232,$A$1,'Detailed Budget'!AN9:'Detailed Budget'!AN232,$I13)+SUMIFS('Detailed Budget'!AB9:'Detailed Budget'!AB232,'Detailed Budget'!Z9:'Detailed Budget'!Z232,$A$1,'Detailed Budget'!AN9:'Detailed Budget'!AN232,$I13)</f>
        <v>0</v>
      </c>
      <c r="C13" s="17">
        <f>SUMIFS('Detailed Budget'!AC9:'Detailed Budget'!AC232,'Detailed Budget'!Z9:'Detailed Budget'!Z232,$A$1,'Detailed Budget'!AN9:'Detailed Budget'!AN232,$I13)+SUMIFS('Detailed Budget'!AD9:'Detailed Budget'!AD232,'Detailed Budget'!Z9:'Detailed Budget'!Z232,$A$1,'Detailed Budget'!AN9:'Detailed Budget'!AN232,$I13)</f>
        <v>0</v>
      </c>
      <c r="D13" s="17">
        <f>SUMIFS('Detailed Budget'!AE9:'Detailed Budget'!AE232,'Detailed Budget'!Z9:'Detailed Budget'!Z232,$A$1,'Detailed Budget'!AN9:'Detailed Budget'!AN232,$I13)+SUMIFS('Detailed Budget'!AF9:'Detailed Budget'!AF232,'Detailed Budget'!Z9:'Detailed Budget'!Z232,$A$1,'Detailed Budget'!AN9:'Detailed Budget'!AN232,$I13)</f>
        <v>483400</v>
      </c>
      <c r="E13" s="17">
        <f>SUMIFS('Detailed Budget'!AG9:'Detailed Budget'!AG232,'Detailed Budget'!Z9:'Detailed Budget'!Z232,$A$1,'Detailed Budget'!AN9:'Detailed Budget'!AN232,$I13)+SUMIFS('Detailed Budget'!AH9:'Detailed Budget'!AH232,'Detailed Budget'!Z9:'Detailed Budget'!Z232,$A$1,'Detailed Budget'!AN9:'Detailed Budget'!AN232,$I13)</f>
        <v>786032</v>
      </c>
      <c r="F13" s="17">
        <f>SUMIFS('Detailed Budget'!AI9:'Detailed Budget'!AI232,'Detailed Budget'!Z9:'Detailed Budget'!Z232,$A$1,'Detailed Budget'!AN9:'Detailed Budget'!AN232,$I13)+SUMIFS('Detailed Budget'!AJ9:'Detailed Budget'!AJ232,'Detailed Budget'!Z9:'Detailed Budget'!Z232,$A$1,'Detailed Budget'!AN9:'Detailed Budget'!AN232,$I13)</f>
        <v>314048</v>
      </c>
      <c r="G13" s="17">
        <f>SUMIFS('Detailed Budget'!AK23:'Detailed Budget'!AK232,'Detailed Budget'!Z23:'Detailed Budget'!Z232,$A$1,'Detailed Budget'!AN23:'Detailed Budget'!AN232,$I13)+SUMIFS('Detailed Budget'!AL23:'Detailed Budget'!AL232,'Detailed Budget'!Z23:'Detailed Budget'!Z232,$A$1,'Detailed Budget'!AN23:'Detailed Budget'!AN232,$I13)</f>
        <v>0</v>
      </c>
      <c r="H13" s="18">
        <f t="shared" si="0"/>
        <v>1583480</v>
      </c>
      <c r="I13" s="68">
        <v>9</v>
      </c>
      <c r="L13" s="1"/>
      <c r="M13" s="33"/>
    </row>
    <row r="14" spans="1:13" ht="14.7" thickBot="1" x14ac:dyDescent="0.6">
      <c r="A14" s="16" t="s">
        <v>90</v>
      </c>
      <c r="B14" s="17">
        <f>SUMIFS('Detailed Budget'!AA10:'Detailed Budget'!AA233,'Detailed Budget'!Z10:'Detailed Budget'!Z233,$A$1,'Detailed Budget'!AN10:'Detailed Budget'!AN233,$I14)+SUMIFS('Detailed Budget'!AB10:'Detailed Budget'!AB233,'Detailed Budget'!Z10:'Detailed Budget'!Z233,$A$1,'Detailed Budget'!AN10:'Detailed Budget'!AN233,$I14)</f>
        <v>0</v>
      </c>
      <c r="C14" s="17">
        <f>SUMIFS('Detailed Budget'!AC10:'Detailed Budget'!AC233,'Detailed Budget'!Z10:'Detailed Budget'!Z233,$A$1,'Detailed Budget'!AN10:'Detailed Budget'!AN233,$I14)+SUMIFS('Detailed Budget'!AD10:'Detailed Budget'!AD233,'Detailed Budget'!Z10:'Detailed Budget'!Z233,$A$1,'Detailed Budget'!AN10:'Detailed Budget'!AN233,$I14)</f>
        <v>0</v>
      </c>
      <c r="D14" s="17">
        <f>SUMIFS('Detailed Budget'!AE10:'Detailed Budget'!AE233,'Detailed Budget'!Z10:'Detailed Budget'!Z233,$A$1,'Detailed Budget'!AN10:'Detailed Budget'!AN233,$I14)+SUMIFS('Detailed Budget'!AF10:'Detailed Budget'!AF233,'Detailed Budget'!Z10:'Detailed Budget'!Z233,$A$1,'Detailed Budget'!AN10:'Detailed Budget'!AN233,$I14)</f>
        <v>0</v>
      </c>
      <c r="E14" s="17">
        <f>SUMIFS('Detailed Budget'!AG10:'Detailed Budget'!AG233,'Detailed Budget'!Z10:'Detailed Budget'!Z233,$A$1,'Detailed Budget'!AN10:'Detailed Budget'!AN233,$I14)+SUMIFS('Detailed Budget'!AH10:'Detailed Budget'!AH233,'Detailed Budget'!Z10:'Detailed Budget'!Z233,$A$1,'Detailed Budget'!AN10:'Detailed Budget'!AN233,$I14)</f>
        <v>0</v>
      </c>
      <c r="F14" s="17">
        <f>SUMIFS('Detailed Budget'!AI10:'Detailed Budget'!AI233,'Detailed Budget'!Z10:'Detailed Budget'!Z233,$A$1,'Detailed Budget'!AN10:'Detailed Budget'!AN233,$I14)+SUMIFS('Detailed Budget'!AJ10:'Detailed Budget'!AJ233,'Detailed Budget'!Z10:'Detailed Budget'!Z233,$A$1,'Detailed Budget'!AN10:'Detailed Budget'!AN233,$I14)</f>
        <v>0</v>
      </c>
      <c r="G14" s="17">
        <f>SUMIFS('Detailed Budget'!AK24:'Detailed Budget'!AK233,'Detailed Budget'!Z24:'Detailed Budget'!Z233,$A$1,'Detailed Budget'!AN24:'Detailed Budget'!AN233,$I14)+SUMIFS('Detailed Budget'!AL24:'Detailed Budget'!AL233,'Detailed Budget'!Z24:'Detailed Budget'!Z233,$A$1,'Detailed Budget'!AN24:'Detailed Budget'!AN233,$I14)</f>
        <v>0</v>
      </c>
      <c r="H14" s="18">
        <f t="shared" si="0"/>
        <v>0</v>
      </c>
      <c r="I14" s="68">
        <v>10</v>
      </c>
      <c r="L14" s="1"/>
      <c r="M14" s="33"/>
    </row>
    <row r="15" spans="1:13" ht="14.7" thickBot="1" x14ac:dyDescent="0.6">
      <c r="A15" s="19" t="s">
        <v>91</v>
      </c>
      <c r="B15" s="17">
        <f>SUMIFS('Detailed Budget'!AA11:'Detailed Budget'!AA234,'Detailed Budget'!Z11:'Detailed Budget'!Z234,$A$1,'Detailed Budget'!AN11:'Detailed Budget'!AN234,$I15)+SUMIFS('Detailed Budget'!AB11:'Detailed Budget'!AB234,'Detailed Budget'!Z11:'Detailed Budget'!Z234,$A$1,'Detailed Budget'!AN11:'Detailed Budget'!AN234,$I15)</f>
        <v>0</v>
      </c>
      <c r="C15" s="17">
        <f>SUMIFS('Detailed Budget'!AC11:'Detailed Budget'!AC234,'Detailed Budget'!Z11:'Detailed Budget'!Z234,$A$1,'Detailed Budget'!AN11:'Detailed Budget'!AN234,$I15)+SUMIFS('Detailed Budget'!AD11:'Detailed Budget'!AD234,'Detailed Budget'!Z11:'Detailed Budget'!Z234,$A$1,'Detailed Budget'!AN11:'Detailed Budget'!AN234,$I15)</f>
        <v>12500</v>
      </c>
      <c r="D15" s="17">
        <f>SUMIFS('Detailed Budget'!AE11:'Detailed Budget'!AE234,'Detailed Budget'!Z11:'Detailed Budget'!Z234,$A$1,'Detailed Budget'!AN11:'Detailed Budget'!AN234,$I15)+SUMIFS('Detailed Budget'!AF11:'Detailed Budget'!AF234,'Detailed Budget'!Z11:'Detailed Budget'!Z234,$A$1,'Detailed Budget'!AN11:'Detailed Budget'!AN234,$I15)</f>
        <v>25000</v>
      </c>
      <c r="E15" s="17">
        <f>SUMIFS('Detailed Budget'!AG11:'Detailed Budget'!AG234,'Detailed Budget'!Z11:'Detailed Budget'!Z234,$A$1,'Detailed Budget'!AN11:'Detailed Budget'!AN234,$I15)+SUMIFS('Detailed Budget'!AH11:'Detailed Budget'!AH234,'Detailed Budget'!Z11:'Detailed Budget'!Z234,$A$1,'Detailed Budget'!AN11:'Detailed Budget'!AN234,$I15)</f>
        <v>50000</v>
      </c>
      <c r="F15" s="17">
        <f>SUMIFS('Detailed Budget'!AI11:'Detailed Budget'!AI234,'Detailed Budget'!Z11:'Detailed Budget'!Z234,$A$1,'Detailed Budget'!AN11:'Detailed Budget'!AN234,$I15)+SUMIFS('Detailed Budget'!AJ11:'Detailed Budget'!AJ234,'Detailed Budget'!Z11:'Detailed Budget'!Z234,$A$1,'Detailed Budget'!AN11:'Detailed Budget'!AN234,$I15)</f>
        <v>25000</v>
      </c>
      <c r="G15" s="17">
        <f>SUMIFS('Detailed Budget'!AK25:'Detailed Budget'!AK234,'Detailed Budget'!Z25:'Detailed Budget'!Z234,$A$1,'Detailed Budget'!AN25:'Detailed Budget'!AN234,$I15)+SUMIFS('Detailed Budget'!AL25:'Detailed Budget'!AL234,'Detailed Budget'!Z25:'Detailed Budget'!Z234,$A$1,'Detailed Budget'!AN25:'Detailed Budget'!AN234,$I15)</f>
        <v>12500</v>
      </c>
      <c r="H15" s="20">
        <f t="shared" si="0"/>
        <v>125000</v>
      </c>
      <c r="I15" s="68">
        <v>11</v>
      </c>
      <c r="L15" s="1"/>
      <c r="M15" s="33"/>
    </row>
    <row r="16" spans="1:13" ht="14.7" thickBot="1" x14ac:dyDescent="0.6">
      <c r="A16" s="21" t="s">
        <v>92</v>
      </c>
      <c r="B16" s="22"/>
      <c r="C16" s="23"/>
      <c r="D16" s="23"/>
      <c r="E16" s="23"/>
      <c r="F16" s="23"/>
      <c r="G16" s="24"/>
      <c r="H16" s="25">
        <f>SUM(H5:H15)*1/9</f>
        <v>1214892.034820006</v>
      </c>
      <c r="I16" s="68">
        <v>12</v>
      </c>
      <c r="L16" s="1"/>
      <c r="M16" s="33"/>
    </row>
    <row r="17" spans="1:13" ht="15" thickTop="1" thickBot="1" x14ac:dyDescent="0.6">
      <c r="A17" s="26" t="s">
        <v>114</v>
      </c>
      <c r="B17" s="27">
        <f t="shared" ref="B17:G17" si="1">SUM(B5:B15)</f>
        <v>327400</v>
      </c>
      <c r="C17" s="27">
        <f t="shared" si="1"/>
        <v>283220</v>
      </c>
      <c r="D17" s="27">
        <f t="shared" si="1"/>
        <v>4091638.4</v>
      </c>
      <c r="E17" s="27">
        <f t="shared" si="1"/>
        <v>4557353.113380054</v>
      </c>
      <c r="F17" s="27">
        <f t="shared" si="1"/>
        <v>1449948.8</v>
      </c>
      <c r="G17" s="27">
        <f t="shared" si="1"/>
        <v>224468</v>
      </c>
      <c r="H17" s="27">
        <f>SUM(H5:H16)</f>
        <v>12148920.348200059</v>
      </c>
      <c r="M17" s="33"/>
    </row>
    <row r="18" spans="1:13" ht="14.7" thickBot="1" x14ac:dyDescent="0.6">
      <c r="A18" s="28"/>
      <c r="B18" s="29"/>
      <c r="C18" s="29"/>
      <c r="D18" s="29"/>
      <c r="E18" s="29"/>
      <c r="F18" s="29"/>
      <c r="G18" s="30"/>
      <c r="H18" s="29"/>
    </row>
    <row r="19" spans="1:13" ht="24" thickTop="1" thickBot="1" x14ac:dyDescent="0.6">
      <c r="A19" s="16" t="s">
        <v>188</v>
      </c>
      <c r="B19" s="31">
        <f>SUMIFS('Detailed Budget'!AB8:'Detailed Budget'!AB172,'Detailed Budget'!Z8:'Detailed Budget'!Z172,$A$1)/'Detailed Budget'!$K$6/48/'Detailed Budget'!$I$4+SUMIFS('Detailed Budget'!AB175:'Detailed Budget'!AB260,'Detailed Budget'!Z175:'Detailed Budget'!Z260,$A$1,'Detailed Budget'!AN175:'Detailed Budget'!AN260,$I12)/'Detailed Budget'!$K$6/48/'Detailed Budget'!I5+0.2</f>
        <v>3</v>
      </c>
      <c r="C19" s="31">
        <f>SUMIFS('Detailed Budget'!AD8:'Detailed Budget'!AD172,'Detailed Budget'!Z8:'Detailed Budget'!Z172,$A$1)/'Detailed Budget'!$K$6/48/'Detailed Budget'!$I$4+SUMIFS('Detailed Budget'!AD175:'Detailed Budget'!AD260,'Detailed Budget'!Z175:'Detailed Budget'!Z260,$A$1,'Detailed Budget'!AN175:'Detailed Budget'!AN260,$I12)/'Detailed Budget'!$K$6/48/'Detailed Budget'!I5</f>
        <v>2.25</v>
      </c>
      <c r="D19" s="31">
        <f>SUMIFS('Detailed Budget'!AF8:'Detailed Budget'!AF172,'Detailed Budget'!Z8:'Detailed Budget'!Z172,$A$1)/'Detailed Budget'!$K$6/48/'Detailed Budget'!$I$4+SUMIFS('Detailed Budget'!AF175:'Detailed Budget'!AF260,'Detailed Budget'!Z175:'Detailed Budget'!Z260,$A$1,'Detailed Budget'!AN175:'Detailed Budget'!AN260,$I12)/'Detailed Budget'!$K$6/48/'Detailed Budget'!I5</f>
        <v>8.333124999999999</v>
      </c>
      <c r="E19" s="31">
        <f>SUMIFS('Detailed Budget'!AH8:'Detailed Budget'!AH172,'Detailed Budget'!Z8:'Detailed Budget'!Z172,$A$1)/'Detailed Budget'!$K$6/48/'Detailed Budget'!$I$4++SUMIFS('Detailed Budget'!AH175:'Detailed Budget'!AH260,'Detailed Budget'!Z175:'Detailed Budget'!Z260,$A$1,'Detailed Budget'!AN175:'Detailed Budget'!AN260,$I12)/'Detailed Budget'!$K$6/48/'Detailed Budget'!I5</f>
        <v>8.3552083333333336</v>
      </c>
      <c r="F19" s="31">
        <f>SUMIFS('Detailed Budget'!AJ8:'Detailed Budget'!AJ172,'Detailed Budget'!Z8:'Detailed Budget'!Z172,$A$1)/'Detailed Budget'!$K$6/48/'Detailed Budget'!$I$4+SUMIFS('Detailed Budget'!AJ175:'Detailed Budget'!AJ260,'Detailed Budget'!Z175:'Detailed Budget'!Z260,$A$1,'Detailed Budget'!AN175:'Detailed Budget'!AN260,$I12)/'Detailed Budget'!$K$6/48/'Detailed Budget'!I5</f>
        <v>3.6637500000000003</v>
      </c>
      <c r="G19" s="31">
        <f>SUMIFS('Detailed Budget'!AL8:'Detailed Budget'!AL172,'Detailed Budget'!Z8:'Detailed Budget'!Z172,$A$1)/'Detailed Budget'!$K$6/48/'Detailed Budget'!$I$4+SUMIFS('Detailed Budget'!AL175:'Detailed Budget'!AL260,'Detailed Budget'!Z175:'Detailed Budget'!Z260,$A$1,'Detailed Budget'!AN175:'Detailed Budget'!AN260,$I12)/'Detailed Budget'!$K$6/48/'Detailed Budget'!I5</f>
        <v>1.7375</v>
      </c>
      <c r="H19" s="31">
        <f>SUM(B19:G19)</f>
        <v>27.339583333333334</v>
      </c>
    </row>
    <row r="21" spans="1:13" ht="14.05" customHeight="1" x14ac:dyDescent="0.55000000000000004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3" ht="18" customHeight="1" x14ac:dyDescent="0.55000000000000004">
      <c r="A22" s="90"/>
      <c r="B22" s="89"/>
      <c r="C22" s="89"/>
      <c r="D22" s="89"/>
      <c r="E22" s="89"/>
      <c r="F22" s="89"/>
      <c r="G22" s="89"/>
      <c r="H22" s="89"/>
      <c r="I22" s="5"/>
      <c r="J22" s="5"/>
    </row>
    <row r="23" spans="1:13" ht="18" customHeight="1" x14ac:dyDescent="0.55000000000000004">
      <c r="A23" s="90"/>
      <c r="B23" s="89"/>
      <c r="C23" s="89"/>
      <c r="D23" s="89"/>
      <c r="E23" s="89"/>
      <c r="F23" s="89"/>
      <c r="G23" s="89"/>
      <c r="H23" s="89"/>
      <c r="I23" s="5"/>
      <c r="J23" s="5"/>
    </row>
    <row r="24" spans="1:13" ht="14.05" customHeight="1" x14ac:dyDescent="0.55000000000000004">
      <c r="A24" s="69"/>
      <c r="B24" s="70"/>
      <c r="C24" s="70"/>
      <c r="D24" s="70"/>
      <c r="E24" s="70"/>
      <c r="F24" s="70"/>
      <c r="G24" s="70"/>
      <c r="H24" s="71"/>
      <c r="I24" s="5"/>
      <c r="J24" s="5"/>
    </row>
    <row r="25" spans="1:13" ht="14.05" customHeight="1" x14ac:dyDescent="0.55000000000000004">
      <c r="A25" s="69"/>
      <c r="B25" s="70"/>
      <c r="C25" s="70"/>
      <c r="D25" s="70"/>
      <c r="E25" s="70"/>
      <c r="F25" s="70"/>
      <c r="G25" s="70"/>
      <c r="H25" s="71"/>
      <c r="I25" s="5"/>
      <c r="J25" s="5"/>
    </row>
    <row r="26" spans="1:13" ht="14.05" customHeight="1" x14ac:dyDescent="0.55000000000000004">
      <c r="A26" s="69"/>
      <c r="B26" s="70"/>
      <c r="C26" s="70"/>
      <c r="D26" s="70"/>
      <c r="E26" s="70"/>
      <c r="F26" s="70"/>
      <c r="G26" s="70"/>
      <c r="H26" s="71"/>
      <c r="I26" s="5"/>
      <c r="J26" s="5"/>
    </row>
    <row r="27" spans="1:13" ht="14.05" customHeight="1" x14ac:dyDescent="0.55000000000000004">
      <c r="A27" s="69"/>
      <c r="B27" s="70"/>
      <c r="C27" s="70"/>
      <c r="D27" s="70"/>
      <c r="E27" s="70"/>
      <c r="F27" s="70"/>
      <c r="G27" s="70"/>
      <c r="H27" s="71"/>
      <c r="I27" s="5"/>
      <c r="J27" s="5"/>
    </row>
    <row r="28" spans="1:13" ht="14.05" customHeight="1" x14ac:dyDescent="0.55000000000000004">
      <c r="A28" s="69"/>
      <c r="B28" s="70"/>
      <c r="C28" s="70"/>
      <c r="D28" s="70"/>
      <c r="E28" s="70"/>
      <c r="F28" s="70"/>
      <c r="G28" s="70"/>
      <c r="H28" s="71"/>
      <c r="I28" s="5"/>
      <c r="J28" s="5"/>
    </row>
    <row r="29" spans="1:13" ht="14.05" customHeight="1" x14ac:dyDescent="0.55000000000000004">
      <c r="A29" s="69"/>
      <c r="B29" s="70"/>
      <c r="C29" s="70"/>
      <c r="D29" s="70"/>
      <c r="E29" s="70"/>
      <c r="F29" s="70"/>
      <c r="G29" s="70"/>
      <c r="H29" s="71"/>
      <c r="I29" s="5"/>
      <c r="J29" s="5"/>
    </row>
    <row r="30" spans="1:13" ht="14.05" customHeight="1" x14ac:dyDescent="0.55000000000000004">
      <c r="A30" s="69"/>
      <c r="B30" s="70"/>
      <c r="C30" s="70"/>
      <c r="D30" s="70"/>
      <c r="E30" s="70"/>
      <c r="F30" s="70"/>
      <c r="G30" s="70"/>
      <c r="H30" s="71"/>
      <c r="I30" s="5"/>
      <c r="J30" s="5"/>
    </row>
    <row r="31" spans="1:13" ht="14.05" customHeight="1" x14ac:dyDescent="0.55000000000000004">
      <c r="A31" s="69"/>
      <c r="B31" s="70"/>
      <c r="C31" s="70"/>
      <c r="D31" s="70"/>
      <c r="E31" s="70"/>
      <c r="F31" s="70"/>
      <c r="G31" s="70"/>
      <c r="H31" s="71"/>
      <c r="I31" s="5"/>
      <c r="J31" s="5"/>
    </row>
    <row r="32" spans="1:13" ht="14.05" customHeight="1" x14ac:dyDescent="0.55000000000000004">
      <c r="A32" s="69"/>
      <c r="B32" s="70"/>
      <c r="C32" s="70"/>
      <c r="D32" s="70"/>
      <c r="E32" s="70"/>
      <c r="F32" s="70"/>
      <c r="G32" s="70"/>
      <c r="H32" s="71"/>
      <c r="I32" s="5"/>
      <c r="J32" s="5"/>
    </row>
    <row r="33" spans="1:10" ht="14.05" customHeight="1" x14ac:dyDescent="0.55000000000000004">
      <c r="A33" s="69"/>
      <c r="B33" s="70"/>
      <c r="C33" s="70"/>
      <c r="D33" s="70"/>
      <c r="E33" s="70"/>
      <c r="F33" s="70"/>
      <c r="G33" s="70"/>
      <c r="H33" s="71"/>
      <c r="I33" s="5"/>
      <c r="J33" s="5"/>
    </row>
    <row r="34" spans="1:10" ht="14.05" customHeight="1" x14ac:dyDescent="0.55000000000000004">
      <c r="A34" s="69"/>
      <c r="B34" s="70"/>
      <c r="C34" s="70"/>
      <c r="D34" s="70"/>
      <c r="E34" s="70"/>
      <c r="F34" s="70"/>
      <c r="G34" s="70"/>
      <c r="H34" s="71"/>
      <c r="I34" s="5"/>
      <c r="J34" s="5"/>
    </row>
    <row r="35" spans="1:10" ht="14.05" customHeight="1" x14ac:dyDescent="0.55000000000000004">
      <c r="A35" s="69"/>
      <c r="B35" s="72"/>
      <c r="C35" s="70"/>
      <c r="D35" s="70"/>
      <c r="E35" s="70"/>
      <c r="F35" s="70"/>
      <c r="G35" s="70"/>
      <c r="H35" s="71"/>
      <c r="I35" s="5"/>
      <c r="J35" s="5"/>
    </row>
    <row r="36" spans="1:10" ht="14.05" customHeight="1" x14ac:dyDescent="0.55000000000000004">
      <c r="A36" s="69"/>
      <c r="B36" s="71"/>
      <c r="C36" s="71"/>
      <c r="D36" s="71"/>
      <c r="E36" s="71"/>
      <c r="F36" s="71"/>
      <c r="G36" s="71"/>
      <c r="H36" s="71"/>
      <c r="I36" s="5"/>
      <c r="J36" s="5"/>
    </row>
    <row r="37" spans="1:10" ht="14.05" customHeight="1" x14ac:dyDescent="0.55000000000000004">
      <c r="A37" s="69"/>
      <c r="B37" s="73"/>
      <c r="C37" s="73"/>
      <c r="D37" s="73"/>
      <c r="E37" s="73"/>
      <c r="F37" s="73"/>
      <c r="G37" s="73"/>
      <c r="H37" s="73"/>
      <c r="I37" s="5"/>
      <c r="J37" s="5"/>
    </row>
    <row r="38" spans="1:10" ht="14.05" customHeight="1" x14ac:dyDescent="0.55000000000000004">
      <c r="A38" s="69"/>
      <c r="B38" s="74"/>
      <c r="C38" s="74"/>
      <c r="D38" s="74"/>
      <c r="E38" s="74"/>
      <c r="F38" s="74"/>
      <c r="G38" s="74"/>
      <c r="H38" s="74"/>
      <c r="I38" s="5"/>
      <c r="J38" s="5"/>
    </row>
    <row r="39" spans="1:10" ht="14.05" customHeight="1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4.05" customHeight="1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</row>
  </sheetData>
  <mergeCells count="16">
    <mergeCell ref="G3:G4"/>
    <mergeCell ref="H3:H4"/>
    <mergeCell ref="A3:A4"/>
    <mergeCell ref="B3:B4"/>
    <mergeCell ref="C3:C4"/>
    <mergeCell ref="D3:D4"/>
    <mergeCell ref="E3:E4"/>
    <mergeCell ref="F3:F4"/>
    <mergeCell ref="E22:E23"/>
    <mergeCell ref="F22:F23"/>
    <mergeCell ref="G22:G23"/>
    <mergeCell ref="H22:H23"/>
    <mergeCell ref="A22:A23"/>
    <mergeCell ref="B22:B23"/>
    <mergeCell ref="C22:C23"/>
    <mergeCell ref="D22:D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H19" sqref="A3:H19"/>
    </sheetView>
  </sheetViews>
  <sheetFormatPr defaultRowHeight="14.4" x14ac:dyDescent="0.55000000000000004"/>
  <cols>
    <col min="1" max="1" width="14.578125" customWidth="1"/>
    <col min="2" max="8" width="10.3671875" customWidth="1"/>
    <col min="13" max="13" width="14.41796875" bestFit="1" customWidth="1"/>
  </cols>
  <sheetData>
    <row r="1" spans="1:13" ht="14.4" customHeight="1" x14ac:dyDescent="0.55000000000000004">
      <c r="A1">
        <v>2</v>
      </c>
    </row>
    <row r="2" spans="1:13" ht="14.7" thickBot="1" x14ac:dyDescent="0.6"/>
    <row r="3" spans="1:13" ht="18" customHeight="1" x14ac:dyDescent="0.55000000000000004">
      <c r="A3" s="95"/>
      <c r="B3" s="97" t="s">
        <v>182</v>
      </c>
      <c r="C3" s="97" t="s">
        <v>183</v>
      </c>
      <c r="D3" s="97" t="s">
        <v>184</v>
      </c>
      <c r="E3" s="97" t="s">
        <v>185</v>
      </c>
      <c r="F3" s="97" t="s">
        <v>186</v>
      </c>
      <c r="G3" s="91" t="s">
        <v>187</v>
      </c>
      <c r="H3" s="93" t="s">
        <v>114</v>
      </c>
    </row>
    <row r="4" spans="1:13" ht="18" customHeight="1" thickBot="1" x14ac:dyDescent="0.6">
      <c r="A4" s="96"/>
      <c r="B4" s="98"/>
      <c r="C4" s="98"/>
      <c r="D4" s="98"/>
      <c r="E4" s="98"/>
      <c r="F4" s="98"/>
      <c r="G4" s="92"/>
      <c r="H4" s="94"/>
      <c r="M4" s="33"/>
    </row>
    <row r="5" spans="1:13" ht="14.05" customHeight="1" thickBot="1" x14ac:dyDescent="0.6">
      <c r="A5" s="16" t="s">
        <v>81</v>
      </c>
      <c r="B5" s="17">
        <f>SUMIFS('Detailed Budget'!AA1:'Detailed Budget'!AA224,'Detailed Budget'!Z1:'Detailed Budget'!Z224,"&lt;=$A$1",'Detailed Budget'!AN1:'Detailed Budget'!AN224,$I5)+SUMIFS('Detailed Budget'!AB1:'Detailed Budget'!AB224,'Detailed Budget'!Z1:'Detailed Budget'!Z224,"&lt;=$A$1",'Detailed Budget'!AN1:'Detailed Budget'!AN224,$I5)+'Option 1'!B5</f>
        <v>0</v>
      </c>
      <c r="C5" s="17">
        <f>SUMIFS('Detailed Budget'!AC1:'Detailed Budget'!AC224,'Detailed Budget'!Z1:'Detailed Budget'!Z224,$A$1,'Detailed Budget'!AN1:'Detailed Budget'!AN224,$I5)+SUMIFS('Detailed Budget'!AD1:'Detailed Budget'!AD224,'Detailed Budget'!Z1:'Detailed Budget'!Z224,$A$1,'Detailed Budget'!AN1:'Detailed Budget'!AN224,$I5)+'Option 1'!C5</f>
        <v>0</v>
      </c>
      <c r="D5" s="17">
        <f>SUMIFS('Detailed Budget'!AE1:'Detailed Budget'!AE224,'Detailed Budget'!Z1:'Detailed Budget'!Z224,$A$1,'Detailed Budget'!AN1:'Detailed Budget'!AN224,$I5)+SUMIFS('Detailed Budget'!AF1:'Detailed Budget'!AF224,'Detailed Budget'!Z1:'Detailed Budget'!Z224,$A$1,'Detailed Budget'!AN1:'Detailed Budget'!AN224,$I5)+'Option 1'!D5</f>
        <v>604470.4</v>
      </c>
      <c r="E5" s="17">
        <f>SUMIFS('Detailed Budget'!AG1:'Detailed Budget'!AG224,'Detailed Budget'!Z1:'Detailed Budget'!Z224,$A$1,'Detailed Budget'!AN1:'Detailed Budget'!AN224,$I5)+SUMIFS('Detailed Budget'!AH1:'Detailed Budget'!AH224,'Detailed Budget'!Z1:'Detailed Budget'!Z224,$A$1,'Detailed Budget'!AN1:'Detailed Budget'!AN224,$I5)+'Option 1'!E5</f>
        <v>1610209.1133800538</v>
      </c>
      <c r="F5" s="17">
        <f>SUMIFS('Detailed Budget'!AI1:'Detailed Budget'!AI224,'Detailed Budget'!Z1:'Detailed Budget'!Z224,$A$1,'Detailed Budget'!AN1:'Detailed Budget'!AN224,$I5)+SUMIFS('Detailed Budget'!AJ1:'Detailed Budget'!AJ224,'Detailed Budget'!Z1:'Detailed Budget'!Z224,$A$1,'Detailed Budget'!AN1:'Detailed Budget'!AN224,$I5)+'Option 1'!F5</f>
        <v>402508.79999999999</v>
      </c>
      <c r="G5" s="17">
        <f>SUMIFS('Detailed Budget'!AK15:'Detailed Budget'!AK224,'Detailed Budget'!Z15:'Detailed Budget'!Z224,$A$1,'Detailed Budget'!AN15:'Detailed Budget'!AN224,$I5)+SUMIFS('Detailed Budget'!AL15:'Detailed Budget'!AL224,'Detailed Budget'!Z15:'Detailed Budget'!Z224,$A$1,'Detailed Budget'!AN15:'Detailed Budget'!AN224,$I5)+'Option 1'!G5</f>
        <v>0</v>
      </c>
      <c r="H5" s="18">
        <f>SUM(B5:G5)</f>
        <v>2617188.3133800537</v>
      </c>
      <c r="I5" s="67">
        <v>1</v>
      </c>
      <c r="L5" s="1"/>
      <c r="M5" s="33"/>
    </row>
    <row r="6" spans="1:13" ht="14.05" customHeight="1" thickBot="1" x14ac:dyDescent="0.6">
      <c r="A6" s="16" t="s">
        <v>82</v>
      </c>
      <c r="B6" s="17">
        <f>SUMIFS('Detailed Budget'!AA2:'Detailed Budget'!AA225,'Detailed Budget'!Z2:'Detailed Budget'!Z225,"&lt;=$A$1",'Detailed Budget'!AN2:'Detailed Budget'!AN225,$I6)+SUMIFS('Detailed Budget'!AB2:'Detailed Budget'!AB225,'Detailed Budget'!Z2:'Detailed Budget'!Z225,"&lt;=$A$1",'Detailed Budget'!AN2:'Detailed Budget'!AN225,$I6)+'Option 1'!B6</f>
        <v>0</v>
      </c>
      <c r="C6" s="17">
        <f>SUMIFS('Detailed Budget'!AC2:'Detailed Budget'!AC225,'Detailed Budget'!Z2:'Detailed Budget'!Z225,$A$1,'Detailed Budget'!AN2:'Detailed Budget'!AN225,$I6)+SUMIFS('Detailed Budget'!AD2:'Detailed Budget'!AD225,'Detailed Budget'!Z2:'Detailed Budget'!Z225,$A$1,'Detailed Budget'!AN2:'Detailed Budget'!AN225,$I6)+'Option 1'!C6</f>
        <v>0</v>
      </c>
      <c r="D6" s="17">
        <f>SUMIFS('Detailed Budget'!AE2:'Detailed Budget'!AE225,'Detailed Budget'!Z2:'Detailed Budget'!Z225,$A$1,'Detailed Budget'!AN2:'Detailed Budget'!AN225,$I6)+SUMIFS('Detailed Budget'!AF2:'Detailed Budget'!AF225,'Detailed Budget'!Z2:'Detailed Budget'!Z225,$A$1,'Detailed Budget'!AN2:'Detailed Budget'!AN225,$I6)+'Option 1'!D6</f>
        <v>1411800</v>
      </c>
      <c r="E6" s="17">
        <f>SUMIFS('Detailed Budget'!AG2:'Detailed Budget'!AG225,'Detailed Budget'!Z2:'Detailed Budget'!Z225,$A$1,'Detailed Budget'!AN2:'Detailed Budget'!AN225,$I6)+SUMIFS('Detailed Budget'!AH2:'Detailed Budget'!AH225,'Detailed Budget'!Z2:'Detailed Budget'!Z225,$A$1,'Detailed Budget'!AN2:'Detailed Budget'!AN225,$I6)+'Option 1'!E6</f>
        <v>850000</v>
      </c>
      <c r="F6" s="17">
        <f>SUMIFS('Detailed Budget'!AI2:'Detailed Budget'!AI225,'Detailed Budget'!Z2:'Detailed Budget'!Z225,$A$1,'Detailed Budget'!AN2:'Detailed Budget'!AN225,$I6)+SUMIFS('Detailed Budget'!AJ2:'Detailed Budget'!AJ225,'Detailed Budget'!Z2:'Detailed Budget'!Z225,$A$1,'Detailed Budget'!AN2:'Detailed Budget'!AN225,$I6)+'Option 1'!F6</f>
        <v>425000</v>
      </c>
      <c r="G6" s="17">
        <f>SUMIFS('Detailed Budget'!AK16:'Detailed Budget'!AK225,'Detailed Budget'!Z16:'Detailed Budget'!Z225,$A$1,'Detailed Budget'!AN16:'Detailed Budget'!AN225,$I6)+SUMIFS('Detailed Budget'!AL16:'Detailed Budget'!AL225,'Detailed Budget'!Z16:'Detailed Budget'!Z225,$A$1,'Detailed Budget'!AN16:'Detailed Budget'!AN225,$I6)+'Option 1'!G6</f>
        <v>0</v>
      </c>
      <c r="H6" s="18">
        <f t="shared" ref="H6:H14" si="0">SUM(B6:G6)</f>
        <v>2686800</v>
      </c>
      <c r="I6" s="67">
        <v>2</v>
      </c>
      <c r="L6" s="1"/>
      <c r="M6" s="33"/>
    </row>
    <row r="7" spans="1:13" ht="14.05" customHeight="1" thickBot="1" x14ac:dyDescent="0.6">
      <c r="A7" s="16" t="s">
        <v>83</v>
      </c>
      <c r="B7" s="17">
        <f>SUMIFS('Detailed Budget'!AA3:'Detailed Budget'!AA226,'Detailed Budget'!Z3:'Detailed Budget'!Z226,"&lt;=$A$1",'Detailed Budget'!AN3:'Detailed Budget'!AN226,$I7)+SUMIFS('Detailed Budget'!AB3:'Detailed Budget'!AB226,'Detailed Budget'!Z3:'Detailed Budget'!Z226,"&lt;=$A$1",'Detailed Budget'!AN3:'Detailed Budget'!AN226,$I7)+'Option 1'!B7</f>
        <v>0</v>
      </c>
      <c r="C7" s="17">
        <f>SUMIFS('Detailed Budget'!AC3:'Detailed Budget'!AC226,'Detailed Budget'!Z3:'Detailed Budget'!Z226,$A$1,'Detailed Budget'!AN3:'Detailed Budget'!AN226,$I7)+SUMIFS('Detailed Budget'!AD3:'Detailed Budget'!AD226,'Detailed Budget'!Z3:'Detailed Budget'!Z226,$A$1,'Detailed Budget'!AN3:'Detailed Budget'!AN226,$I7)+'Option 1'!C7</f>
        <v>0</v>
      </c>
      <c r="D7" s="17">
        <f>SUMIFS('Detailed Budget'!AE3:'Detailed Budget'!AE226,'Detailed Budget'!Z3:'Detailed Budget'!Z226,$A$1,'Detailed Budget'!AN3:'Detailed Budget'!AN226,$I7)+SUMIFS('Detailed Budget'!AF3:'Detailed Budget'!AF226,'Detailed Budget'!Z3:'Detailed Budget'!Z226,$A$1,'Detailed Budget'!AN3:'Detailed Budget'!AN226,$I7)+'Option 1'!D7</f>
        <v>979728</v>
      </c>
      <c r="E7" s="17">
        <f>SUMIFS('Detailed Budget'!AG3:'Detailed Budget'!AG226,'Detailed Budget'!Z3:'Detailed Budget'!Z226,$A$1,'Detailed Budget'!AN3:'Detailed Budget'!AN226,$I7)+SUMIFS('Detailed Budget'!AH3:'Detailed Budget'!AH226,'Detailed Budget'!Z3:'Detailed Budget'!Z226,$A$1,'Detailed Budget'!AN3:'Detailed Budget'!AN226,$I7)+'Option 1'!E7</f>
        <v>189184</v>
      </c>
      <c r="F7" s="17">
        <f>SUMIFS('Detailed Budget'!AI3:'Detailed Budget'!AI226,'Detailed Budget'!Z3:'Detailed Budget'!Z226,$A$1,'Detailed Budget'!AN3:'Detailed Budget'!AN226,$I7)+SUMIFS('Detailed Budget'!AJ3:'Detailed Budget'!AJ226,'Detailed Budget'!Z3:'Detailed Budget'!Z226,$A$1,'Detailed Budget'!AN3:'Detailed Budget'!AN226,$I7)+'Option 1'!F7</f>
        <v>0</v>
      </c>
      <c r="G7" s="17">
        <f>SUMIFS('Detailed Budget'!AK17:'Detailed Budget'!AK226,'Detailed Budget'!Z17:'Detailed Budget'!Z226,$A$1,'Detailed Budget'!AN17:'Detailed Budget'!AN226,$I7)+SUMIFS('Detailed Budget'!AL17:'Detailed Budget'!AL226,'Detailed Budget'!Z17:'Detailed Budget'!Z226,$A$1,'Detailed Budget'!AN17:'Detailed Budget'!AN226,$I7)+'Option 1'!G7</f>
        <v>4608</v>
      </c>
      <c r="H7" s="18">
        <f t="shared" si="0"/>
        <v>1173520</v>
      </c>
      <c r="I7" s="67">
        <v>3</v>
      </c>
      <c r="J7" s="4"/>
      <c r="L7" s="1"/>
      <c r="M7" s="33"/>
    </row>
    <row r="8" spans="1:13" ht="14.05" customHeight="1" thickBot="1" x14ac:dyDescent="0.6">
      <c r="A8" s="16" t="s">
        <v>84</v>
      </c>
      <c r="B8" s="17">
        <f>SUMIFS('Detailed Budget'!AA4:'Detailed Budget'!AA227,'Detailed Budget'!Z4:'Detailed Budget'!Z227,"&lt;=$A$1",'Detailed Budget'!AN4:'Detailed Budget'!AN227,$I8)+SUMIFS('Detailed Budget'!AB4:'Detailed Budget'!AB227,'Detailed Budget'!Z4:'Detailed Budget'!Z227,"&lt;=$A$1",'Detailed Budget'!AN4:'Detailed Budget'!AN227,$I8)+'Option 1'!B8</f>
        <v>0</v>
      </c>
      <c r="C8" s="17">
        <f>SUMIFS('Detailed Budget'!AC4:'Detailed Budget'!AC227,'Detailed Budget'!Z4:'Detailed Budget'!Z227,$A$1,'Detailed Budget'!AN4:'Detailed Budget'!AN227,$I8)+SUMIFS('Detailed Budget'!AD4:'Detailed Budget'!AD227,'Detailed Budget'!Z4:'Detailed Budget'!Z227,$A$1,'Detailed Budget'!AN4:'Detailed Budget'!AN227,$I8)+'Option 1'!C8</f>
        <v>0</v>
      </c>
      <c r="D8" s="17">
        <f>SUMIFS('Detailed Budget'!AE4:'Detailed Budget'!AE227,'Detailed Budget'!Z4:'Detailed Budget'!Z227,$A$1,'Detailed Budget'!AN4:'Detailed Budget'!AN227,$I8)+SUMIFS('Detailed Budget'!AF4:'Detailed Budget'!AF227,'Detailed Budget'!Z4:'Detailed Budget'!Z227,$A$1,'Detailed Budget'!AN4:'Detailed Budget'!AN227,$I8)+'Option 1'!D8</f>
        <v>0</v>
      </c>
      <c r="E8" s="17">
        <f>SUMIFS('Detailed Budget'!AG4:'Detailed Budget'!AG227,'Detailed Budget'!Z4:'Detailed Budget'!Z227,$A$1,'Detailed Budget'!AN4:'Detailed Budget'!AN227,$I8)+SUMIFS('Detailed Budget'!AH4:'Detailed Budget'!AH227,'Detailed Budget'!Z4:'Detailed Budget'!Z227,$A$1,'Detailed Budget'!AN4:'Detailed Budget'!AN227,$I8)+'Option 1'!E8</f>
        <v>306912</v>
      </c>
      <c r="F8" s="17">
        <f>SUMIFS('Detailed Budget'!AI4:'Detailed Budget'!AI227,'Detailed Budget'!Z4:'Detailed Budget'!Z227,$A$1,'Detailed Budget'!AN4:'Detailed Budget'!AN227,$I8)+SUMIFS('Detailed Budget'!AJ4:'Detailed Budget'!AJ227,'Detailed Budget'!Z4:'Detailed Budget'!Z227,$A$1,'Detailed Budget'!AN4:'Detailed Budget'!AN227,$I8)+'Option 1'!F8</f>
        <v>20736</v>
      </c>
      <c r="G8" s="17">
        <f>SUMIFS('Detailed Budget'!AK18:'Detailed Budget'!AK227,'Detailed Budget'!Z18:'Detailed Budget'!Z227,$A$1,'Detailed Budget'!AN18:'Detailed Budget'!AN227,$I8)+SUMIFS('Detailed Budget'!AL18:'Detailed Budget'!AL227,'Detailed Budget'!Z18:'Detailed Budget'!Z227,$A$1,'Detailed Budget'!AN18:'Detailed Budget'!AN227,$I8)+'Option 1'!G8</f>
        <v>6912</v>
      </c>
      <c r="H8" s="18">
        <f t="shared" si="0"/>
        <v>334560</v>
      </c>
      <c r="I8" s="68">
        <v>4</v>
      </c>
      <c r="J8" s="4"/>
      <c r="L8" s="1"/>
      <c r="M8" s="33"/>
    </row>
    <row r="9" spans="1:13" ht="14.05" customHeight="1" thickBot="1" x14ac:dyDescent="0.6">
      <c r="A9" s="16" t="s">
        <v>85</v>
      </c>
      <c r="B9" s="17">
        <f>SUMIFS('Detailed Budget'!AA5:'Detailed Budget'!AA228,'Detailed Budget'!Z5:'Detailed Budget'!Z228,"&lt;=$A$1",'Detailed Budget'!AN5:'Detailed Budget'!AN228,$I9)+SUMIFS('Detailed Budget'!AB5:'Detailed Budget'!AB228,'Detailed Budget'!Z5:'Detailed Budget'!Z228,"&lt;=$A$1",'Detailed Budget'!AN5:'Detailed Budget'!AN228,$I9)+'Option 1'!B9</f>
        <v>0</v>
      </c>
      <c r="C9" s="17">
        <f>SUMIFS('Detailed Budget'!AC5:'Detailed Budget'!AC228,'Detailed Budget'!Z5:'Detailed Budget'!Z228,$A$1,'Detailed Budget'!AN5:'Detailed Budget'!AN228,$I9)+SUMIFS('Detailed Budget'!AD5:'Detailed Budget'!AD228,'Detailed Budget'!Z5:'Detailed Budget'!Z228,$A$1,'Detailed Budget'!AN5:'Detailed Budget'!AN228,$I9)+'Option 1'!C9</f>
        <v>0</v>
      </c>
      <c r="D9" s="17">
        <f>SUMIFS('Detailed Budget'!AE5:'Detailed Budget'!AE228,'Detailed Budget'!Z5:'Detailed Budget'!Z228,$A$1,'Detailed Budget'!AN5:'Detailed Budget'!AN228,$I9)+SUMIFS('Detailed Budget'!AF5:'Detailed Budget'!AF228,'Detailed Budget'!Z5:'Detailed Budget'!Z228,$A$1,'Detailed Budget'!AN5:'Detailed Budget'!AN228,$I9)+'Option 1'!D9</f>
        <v>433359.83999999997</v>
      </c>
      <c r="E9" s="17">
        <f>SUMIFS('Detailed Budget'!AG5:'Detailed Budget'!AG228,'Detailed Budget'!Z5:'Detailed Budget'!Z228,$A$1,'Detailed Budget'!AN5:'Detailed Budget'!AN228,$I9)+SUMIFS('Detailed Budget'!AH5:'Detailed Budget'!AH228,'Detailed Budget'!Z5:'Detailed Budget'!Z228,$A$1,'Detailed Budget'!AN5:'Detailed Budget'!AN228,$I9)+'Option 1'!E9</f>
        <v>618742.4</v>
      </c>
      <c r="F9" s="17">
        <f>SUMIFS('Detailed Budget'!AI5:'Detailed Budget'!AI228,'Detailed Budget'!Z5:'Detailed Budget'!Z228,$A$1,'Detailed Budget'!AN5:'Detailed Budget'!AN228,$I9)+SUMIFS('Detailed Budget'!AJ5:'Detailed Budget'!AJ228,'Detailed Budget'!Z5:'Detailed Budget'!Z228,$A$1,'Detailed Budget'!AN5:'Detailed Budget'!AN228,$I9)+'Option 1'!F9</f>
        <v>560250.56000000006</v>
      </c>
      <c r="G9" s="17">
        <f>SUMIFS('Detailed Budget'!AK19:'Detailed Budget'!AK228,'Detailed Budget'!Z19:'Detailed Budget'!Z228,$A$1,'Detailed Budget'!AN19:'Detailed Budget'!AN228,$I9)+SUMIFS('Detailed Budget'!AL19:'Detailed Budget'!AL228,'Detailed Budget'!Z19:'Detailed Budget'!Z228,$A$1,'Detailed Budget'!AN19:'Detailed Budget'!AN228,$I9)+'Option 1'!G9</f>
        <v>0</v>
      </c>
      <c r="H9" s="18">
        <f t="shared" si="0"/>
        <v>1612352.8</v>
      </c>
      <c r="I9" s="68">
        <v>5</v>
      </c>
      <c r="J9" s="4"/>
      <c r="L9" s="1"/>
      <c r="M9" s="33"/>
    </row>
    <row r="10" spans="1:13" ht="14.05" customHeight="1" thickBot="1" x14ac:dyDescent="0.6">
      <c r="A10" s="16" t="s">
        <v>86</v>
      </c>
      <c r="B10" s="17">
        <f>SUMIFS('Detailed Budget'!AA6:'Detailed Budget'!AA229,'Detailed Budget'!Z6:'Detailed Budget'!Z229,"&lt;=$A$1",'Detailed Budget'!AN6:'Detailed Budget'!AN229,$I10)+SUMIFS('Detailed Budget'!AB6:'Detailed Budget'!AB229,'Detailed Budget'!Z6:'Detailed Budget'!Z229,"&lt;=$A$1",'Detailed Budget'!AN6:'Detailed Budget'!AN229,$I10)+'Option 1'!B10</f>
        <v>0</v>
      </c>
      <c r="C10" s="17">
        <f>SUMIFS('Detailed Budget'!AC6:'Detailed Budget'!AC229,'Detailed Budget'!Z6:'Detailed Budget'!Z229,$A$1,'Detailed Budget'!AN6:'Detailed Budget'!AN229,$I10)+SUMIFS('Detailed Budget'!AD6:'Detailed Budget'!AD229,'Detailed Budget'!Z6:'Detailed Budget'!Z229,$A$1,'Detailed Budget'!AN6:'Detailed Budget'!AN229,$I10)+'Option 1'!C10</f>
        <v>0</v>
      </c>
      <c r="D10" s="17">
        <f>SUMIFS('Detailed Budget'!AE6:'Detailed Budget'!AE229,'Detailed Budget'!Z6:'Detailed Budget'!Z229,$A$1,'Detailed Budget'!AN6:'Detailed Budget'!AN229,$I10)+SUMIFS('Detailed Budget'!AF6:'Detailed Budget'!AF229,'Detailed Budget'!Z6:'Detailed Budget'!Z229,$A$1,'Detailed Budget'!AN6:'Detailed Budget'!AN229,$I10)+'Option 1'!D10</f>
        <v>0</v>
      </c>
      <c r="E10" s="17">
        <f>SUMIFS('Detailed Budget'!AG6:'Detailed Budget'!AG229,'Detailed Budget'!Z6:'Detailed Budget'!Z229,$A$1,'Detailed Budget'!AN6:'Detailed Budget'!AN229,$I10)+SUMIFS('Detailed Budget'!AH6:'Detailed Budget'!AH229,'Detailed Budget'!Z6:'Detailed Budget'!Z229,$A$1,'Detailed Budget'!AN6:'Detailed Budget'!AN229,$I10)+'Option 1'!E10</f>
        <v>0</v>
      </c>
      <c r="F10" s="17">
        <f>SUMIFS('Detailed Budget'!AI6:'Detailed Budget'!AI229,'Detailed Budget'!Z6:'Detailed Budget'!Z229,$A$1,'Detailed Budget'!AN6:'Detailed Budget'!AN229,$I10)+SUMIFS('Detailed Budget'!AJ6:'Detailed Budget'!AJ229,'Detailed Budget'!Z6:'Detailed Budget'!Z229,$A$1,'Detailed Budget'!AN6:'Detailed Budget'!AN229,$I10)+'Option 1'!F10</f>
        <v>0</v>
      </c>
      <c r="G10" s="17">
        <f>SUMIFS('Detailed Budget'!AK20:'Detailed Budget'!AK229,'Detailed Budget'!Z20:'Detailed Budget'!Z229,$A$1,'Detailed Budget'!AN20:'Detailed Budget'!AN229,$I10)+SUMIFS('Detailed Budget'!AL20:'Detailed Budget'!AL229,'Detailed Budget'!Z20:'Detailed Budget'!Z229,$A$1,'Detailed Budget'!AN20:'Detailed Budget'!AN229,$I10)+'Option 1'!G10</f>
        <v>0</v>
      </c>
      <c r="H10" s="18">
        <f t="shared" si="0"/>
        <v>0</v>
      </c>
      <c r="I10" s="68">
        <v>6</v>
      </c>
      <c r="J10" s="4"/>
      <c r="L10" s="1"/>
      <c r="M10" s="33"/>
    </row>
    <row r="11" spans="1:13" ht="14.05" customHeight="1" thickBot="1" x14ac:dyDescent="0.6">
      <c r="A11" s="16" t="s">
        <v>87</v>
      </c>
      <c r="B11" s="17">
        <f>SUMIFS('Detailed Budget'!AA7:'Detailed Budget'!AA230,'Detailed Budget'!Z7:'Detailed Budget'!Z230,"&lt;=$A$1",'Detailed Budget'!AN7:'Detailed Budget'!AN230,$I11)+SUMIFS('Detailed Budget'!AB7:'Detailed Budget'!AB230,'Detailed Budget'!Z7:'Detailed Budget'!Z230,"&lt;=$A$1",'Detailed Budget'!AN7:'Detailed Budget'!AN230,$I11)+'Option 1'!B11</f>
        <v>0</v>
      </c>
      <c r="C11" s="17">
        <f>SUMIFS('Detailed Budget'!AC7:'Detailed Budget'!AC230,'Detailed Budget'!Z7:'Detailed Budget'!Z230,$A$1,'Detailed Budget'!AN7:'Detailed Budget'!AN230,$I11)+SUMIFS('Detailed Budget'!AD7:'Detailed Budget'!AD230,'Detailed Budget'!Z7:'Detailed Budget'!Z230,$A$1,'Detailed Budget'!AN7:'Detailed Budget'!AN230,$I11)+'Option 1'!C11</f>
        <v>0</v>
      </c>
      <c r="D11" s="17">
        <f>SUMIFS('Detailed Budget'!AE7:'Detailed Budget'!AE230,'Detailed Budget'!Z7:'Detailed Budget'!Z230,$A$1,'Detailed Budget'!AN7:'Detailed Budget'!AN230,$I11)+SUMIFS('Detailed Budget'!AF7:'Detailed Budget'!AF230,'Detailed Budget'!Z7:'Detailed Budget'!Z230,$A$1,'Detailed Budget'!AN7:'Detailed Budget'!AN230,$I11)+'Option 1'!D11</f>
        <v>0</v>
      </c>
      <c r="E11" s="17">
        <f>SUMIFS('Detailed Budget'!AG7:'Detailed Budget'!AG230,'Detailed Budget'!Z7:'Detailed Budget'!Z230,$A$1,'Detailed Budget'!AN7:'Detailed Budget'!AN230,$I11)+SUMIFS('Detailed Budget'!AH7:'Detailed Budget'!AH230,'Detailed Budget'!Z7:'Detailed Budget'!Z230,$A$1,'Detailed Budget'!AN7:'Detailed Budget'!AN230,$I11)+'Option 1'!E11</f>
        <v>548432</v>
      </c>
      <c r="F11" s="17">
        <f>SUMIFS('Detailed Budget'!AI7:'Detailed Budget'!AI230,'Detailed Budget'!Z7:'Detailed Budget'!Z230,$A$1,'Detailed Budget'!AN7:'Detailed Budget'!AN230,$I11)+SUMIFS('Detailed Budget'!AJ7:'Detailed Budget'!AJ230,'Detailed Budget'!Z7:'Detailed Budget'!Z230,$A$1,'Detailed Budget'!AN7:'Detailed Budget'!AN230,$I11)+'Option 1'!F11</f>
        <v>4608</v>
      </c>
      <c r="G11" s="17">
        <f>SUMIFS('Detailed Budget'!AK21:'Detailed Budget'!AK230,'Detailed Budget'!Z21:'Detailed Budget'!Z230,$A$1,'Detailed Budget'!AN21:'Detailed Budget'!AN230,$I11)+SUMIFS('Detailed Budget'!AL21:'Detailed Budget'!AL230,'Detailed Budget'!Z21:'Detailed Budget'!Z230,$A$1,'Detailed Budget'!AN21:'Detailed Budget'!AN230,$I11)+'Option 1'!G11</f>
        <v>0</v>
      </c>
      <c r="H11" s="18">
        <f t="shared" si="0"/>
        <v>553040</v>
      </c>
      <c r="I11" s="68">
        <v>7</v>
      </c>
      <c r="L11" s="1"/>
      <c r="M11" s="33"/>
    </row>
    <row r="12" spans="1:13" ht="14.05" customHeight="1" thickBot="1" x14ac:dyDescent="0.6">
      <c r="A12" s="16" t="s">
        <v>88</v>
      </c>
      <c r="B12" s="17">
        <f>SUMIFS('Detailed Budget'!AA8:'Detailed Budget'!AA231,'Detailed Budget'!Z8:'Detailed Budget'!Z231,"&lt;=$A$1",'Detailed Budget'!AN8:'Detailed Budget'!AN231,$I12)+SUMIFS('Detailed Budget'!AB8:'Detailed Budget'!AB231,'Detailed Budget'!Z8:'Detailed Budget'!Z231,"&lt;=$A$1",'Detailed Budget'!AN8:'Detailed Budget'!AN231,$I12)+'Option 1'!B12</f>
        <v>327400</v>
      </c>
      <c r="C12" s="17">
        <f>SUMIFS('Detailed Budget'!AC8:'Detailed Budget'!AC231,'Detailed Budget'!Z8:'Detailed Budget'!Z231,$A$1,'Detailed Budget'!AN8:'Detailed Budget'!AN231,$I12)+SUMIFS('Detailed Budget'!AD8:'Detailed Budget'!AD231,'Detailed Budget'!Z8:'Detailed Budget'!Z231,$A$1,'Detailed Budget'!AN8:'Detailed Budget'!AN231,$I12)+'Option 1'!C12</f>
        <v>270720</v>
      </c>
      <c r="D12" s="17">
        <f>SUMIFS('Detailed Budget'!AE8:'Detailed Budget'!AE231,'Detailed Budget'!Z8:'Detailed Budget'!Z231,$A$1,'Detailed Budget'!AN8:'Detailed Budget'!AN231,$I12)+SUMIFS('Detailed Budget'!AF8:'Detailed Budget'!AF231,'Detailed Budget'!Z8:'Detailed Budget'!Z231,$A$1,'Detailed Budget'!AN8:'Detailed Budget'!AN231,$I12)+'Option 1'!D12</f>
        <v>714240</v>
      </c>
      <c r="E12" s="17">
        <f>SUMIFS('Detailed Budget'!AG8:'Detailed Budget'!AG231,'Detailed Budget'!Z8:'Detailed Budget'!Z231,$A$1,'Detailed Budget'!AN8:'Detailed Budget'!AN231,$I12)+SUMIFS('Detailed Budget'!AH8:'Detailed Budget'!AH231,'Detailed Budget'!Z8:'Detailed Budget'!Z231,$A$1,'Detailed Budget'!AN8:'Detailed Budget'!AN231,$I12)+'Option 1'!E12</f>
        <v>737280</v>
      </c>
      <c r="F12" s="17">
        <f>SUMIFS('Detailed Budget'!AI8:'Detailed Budget'!AI231,'Detailed Budget'!Z8:'Detailed Budget'!Z231,$A$1,'Detailed Budget'!AN8:'Detailed Budget'!AN231,$I12)+SUMIFS('Detailed Budget'!AJ8:'Detailed Budget'!AJ231,'Detailed Budget'!Z8:'Detailed Budget'!Z231,$A$1,'Detailed Budget'!AN8:'Detailed Budget'!AN231,$I12)+'Option 1'!F12</f>
        <v>276480</v>
      </c>
      <c r="G12" s="17">
        <f>SUMIFS('Detailed Budget'!AK22:'Detailed Budget'!AK231,'Detailed Budget'!Z22:'Detailed Budget'!Z231,$A$1,'Detailed Budget'!AN22:'Detailed Budget'!AN231,$I12)+SUMIFS('Detailed Budget'!AL22:'Detailed Budget'!AL231,'Detailed Budget'!Z22:'Detailed Budget'!Z231,$A$1,'Detailed Budget'!AN22:'Detailed Budget'!AN231,$I12)+'Option 1'!G12</f>
        <v>207360</v>
      </c>
      <c r="H12" s="18">
        <f t="shared" si="0"/>
        <v>2533480</v>
      </c>
      <c r="I12" s="68">
        <v>8</v>
      </c>
      <c r="L12" s="1"/>
      <c r="M12" s="33"/>
    </row>
    <row r="13" spans="1:13" ht="14.05" customHeight="1" thickBot="1" x14ac:dyDescent="0.6">
      <c r="A13" s="16" t="s">
        <v>89</v>
      </c>
      <c r="B13" s="17">
        <f>SUMIFS('Detailed Budget'!AA9:'Detailed Budget'!AA232,'Detailed Budget'!Z9:'Detailed Budget'!Z232,"&lt;=$A$1",'Detailed Budget'!AN9:'Detailed Budget'!AN232,$I13)+SUMIFS('Detailed Budget'!AB9:'Detailed Budget'!AB232,'Detailed Budget'!Z9:'Detailed Budget'!Z232,"&lt;=$A$1",'Detailed Budget'!AN9:'Detailed Budget'!AN232,$I13)+'Option 1'!B13</f>
        <v>0</v>
      </c>
      <c r="C13" s="17">
        <f>SUMIFS('Detailed Budget'!AC9:'Detailed Budget'!AC232,'Detailed Budget'!Z9:'Detailed Budget'!Z232,$A$1,'Detailed Budget'!AN9:'Detailed Budget'!AN232,$I13)+SUMIFS('Detailed Budget'!AD9:'Detailed Budget'!AD232,'Detailed Budget'!Z9:'Detailed Budget'!Z232,$A$1,'Detailed Budget'!AN9:'Detailed Budget'!AN232,$I13)+'Option 1'!C13</f>
        <v>0</v>
      </c>
      <c r="D13" s="17">
        <f>SUMIFS('Detailed Budget'!AE9:'Detailed Budget'!AE232,'Detailed Budget'!Z9:'Detailed Budget'!Z232,$A$1,'Detailed Budget'!AN9:'Detailed Budget'!AN232,$I13)+SUMIFS('Detailed Budget'!AF9:'Detailed Budget'!AF232,'Detailed Budget'!Z9:'Detailed Budget'!Z232,$A$1,'Detailed Budget'!AN9:'Detailed Budget'!AN232,$I13)+'Option 1'!D13</f>
        <v>618400</v>
      </c>
      <c r="E13" s="17">
        <f>SUMIFS('Detailed Budget'!AG9:'Detailed Budget'!AG232,'Detailed Budget'!Z9:'Detailed Budget'!Z232,$A$1,'Detailed Budget'!AN9:'Detailed Budget'!AN232,$I13)+SUMIFS('Detailed Budget'!AH9:'Detailed Budget'!AH232,'Detailed Budget'!Z9:'Detailed Budget'!Z232,$A$1,'Detailed Budget'!AN9:'Detailed Budget'!AN232,$I13)+'Option 1'!E13</f>
        <v>876032</v>
      </c>
      <c r="F13" s="17">
        <f>SUMIFS('Detailed Budget'!AI9:'Detailed Budget'!AI232,'Detailed Budget'!Z9:'Detailed Budget'!Z232,$A$1,'Detailed Budget'!AN9:'Detailed Budget'!AN232,$I13)+SUMIFS('Detailed Budget'!AJ9:'Detailed Budget'!AJ232,'Detailed Budget'!Z9:'Detailed Budget'!Z232,$A$1,'Detailed Budget'!AN9:'Detailed Budget'!AN232,$I13)+'Option 1'!F13</f>
        <v>314048</v>
      </c>
      <c r="G13" s="17">
        <f>SUMIFS('Detailed Budget'!AK23:'Detailed Budget'!AK232,'Detailed Budget'!Z23:'Detailed Budget'!Z232,$A$1,'Detailed Budget'!AN23:'Detailed Budget'!AN232,$I13)+SUMIFS('Detailed Budget'!AL23:'Detailed Budget'!AL232,'Detailed Budget'!Z23:'Detailed Budget'!Z232,$A$1,'Detailed Budget'!AN23:'Detailed Budget'!AN232,$I13)+'Option 1'!G13</f>
        <v>0</v>
      </c>
      <c r="H13" s="18">
        <f t="shared" si="0"/>
        <v>1808480</v>
      </c>
      <c r="I13" s="68">
        <v>9</v>
      </c>
      <c r="L13" s="1"/>
      <c r="M13" s="33"/>
    </row>
    <row r="14" spans="1:13" ht="14.05" customHeight="1" thickBot="1" x14ac:dyDescent="0.6">
      <c r="A14" s="16" t="s">
        <v>90</v>
      </c>
      <c r="B14" s="17">
        <f>SUMIFS('Detailed Budget'!AA10:'Detailed Budget'!AA233,'Detailed Budget'!Z10:'Detailed Budget'!Z233,"&lt;=$A$1",'Detailed Budget'!AN10:'Detailed Budget'!AN233,$I14)+SUMIFS('Detailed Budget'!AB10:'Detailed Budget'!AB233,'Detailed Budget'!Z10:'Detailed Budget'!Z233,"&lt;=$A$1",'Detailed Budget'!AN10:'Detailed Budget'!AN233,$I14)+'Option 1'!B14</f>
        <v>0</v>
      </c>
      <c r="C14" s="17">
        <f>SUMIFS('Detailed Budget'!AC10:'Detailed Budget'!AC233,'Detailed Budget'!Z10:'Detailed Budget'!Z233,$A$1,'Detailed Budget'!AN10:'Detailed Budget'!AN233,$I14)+SUMIFS('Detailed Budget'!AD10:'Detailed Budget'!AD233,'Detailed Budget'!Z10:'Detailed Budget'!Z233,$A$1,'Detailed Budget'!AN10:'Detailed Budget'!AN233,$I14)+'Option 1'!C14</f>
        <v>0</v>
      </c>
      <c r="D14" s="17">
        <f>SUMIFS('Detailed Budget'!AE10:'Detailed Budget'!AE233,'Detailed Budget'!Z10:'Detailed Budget'!Z233,$A$1,'Detailed Budget'!AN10:'Detailed Budget'!AN233,$I14)+SUMIFS('Detailed Budget'!AF10:'Detailed Budget'!AF233,'Detailed Budget'!Z10:'Detailed Budget'!Z233,$A$1,'Detailed Budget'!AN10:'Detailed Budget'!AN233,$I14)+'Option 1'!D14</f>
        <v>0</v>
      </c>
      <c r="E14" s="17">
        <f>SUMIFS('Detailed Budget'!AG10:'Detailed Budget'!AG233,'Detailed Budget'!Z10:'Detailed Budget'!Z233,$A$1,'Detailed Budget'!AN10:'Detailed Budget'!AN233,$I14)+SUMIFS('Detailed Budget'!AH10:'Detailed Budget'!AH233,'Detailed Budget'!Z10:'Detailed Budget'!Z233,$A$1,'Detailed Budget'!AN10:'Detailed Budget'!AN233,$I14)+'Option 1'!E14</f>
        <v>0</v>
      </c>
      <c r="F14" s="17">
        <f>SUMIFS('Detailed Budget'!AI10:'Detailed Budget'!AI233,'Detailed Budget'!Z10:'Detailed Budget'!Z233,$A$1,'Detailed Budget'!AN10:'Detailed Budget'!AN233,$I14)+SUMIFS('Detailed Budget'!AJ10:'Detailed Budget'!AJ233,'Detailed Budget'!Z10:'Detailed Budget'!Z233,$A$1,'Detailed Budget'!AN10:'Detailed Budget'!AN233,$I14)+'Option 1'!F14</f>
        <v>0</v>
      </c>
      <c r="G14" s="17">
        <f>SUMIFS('Detailed Budget'!AK24:'Detailed Budget'!AK233,'Detailed Budget'!Z24:'Detailed Budget'!Z233,$A$1,'Detailed Budget'!AN24:'Detailed Budget'!AN233,$I14)+SUMIFS('Detailed Budget'!AL24:'Detailed Budget'!AL233,'Detailed Budget'!Z24:'Detailed Budget'!Z233,$A$1,'Detailed Budget'!AN24:'Detailed Budget'!AN233,$I14)+'Option 1'!G14</f>
        <v>0</v>
      </c>
      <c r="H14" s="18">
        <f t="shared" si="0"/>
        <v>0</v>
      </c>
      <c r="I14" s="68">
        <v>10</v>
      </c>
      <c r="L14" s="1"/>
      <c r="M14" s="33"/>
    </row>
    <row r="15" spans="1:13" ht="14.05" customHeight="1" thickBot="1" x14ac:dyDescent="0.6">
      <c r="A15" s="19" t="s">
        <v>91</v>
      </c>
      <c r="B15" s="17">
        <f>SUMIFS('Detailed Budget'!AA11:'Detailed Budget'!AA234,'Detailed Budget'!Z11:'Detailed Budget'!Z234,"&lt;=$A$1",'Detailed Budget'!AN11:'Detailed Budget'!AN234,$I15)+SUMIFS('Detailed Budget'!AB11:'Detailed Budget'!AB234,'Detailed Budget'!Z11:'Detailed Budget'!Z234,"&lt;=$A$1",'Detailed Budget'!AN11:'Detailed Budget'!AN234,$I15)+'Option 1'!B15</f>
        <v>0</v>
      </c>
      <c r="C15" s="17">
        <f>SUMIFS('Detailed Budget'!AC11:'Detailed Budget'!AC234,'Detailed Budget'!Z11:'Detailed Budget'!Z234,$A$1,'Detailed Budget'!AN11:'Detailed Budget'!AN234,$I15)+SUMIFS('Detailed Budget'!AD11:'Detailed Budget'!AD234,'Detailed Budget'!Z11:'Detailed Budget'!Z234,$A$1,'Detailed Budget'!AN11:'Detailed Budget'!AN234,$I15)+'Option 1'!C15</f>
        <v>12500</v>
      </c>
      <c r="D15" s="17">
        <f>SUMIFS('Detailed Budget'!AE11:'Detailed Budget'!AE234,'Detailed Budget'!Z11:'Detailed Budget'!Z234,$A$1,'Detailed Budget'!AN11:'Detailed Budget'!AN234,$I15)+SUMIFS('Detailed Budget'!AF11:'Detailed Budget'!AF234,'Detailed Budget'!Z11:'Detailed Budget'!Z234,$A$1,'Detailed Budget'!AN11:'Detailed Budget'!AN234,$I15)+'Option 1'!D15</f>
        <v>25000</v>
      </c>
      <c r="E15" s="17">
        <f>SUMIFS('Detailed Budget'!AG11:'Detailed Budget'!AG234,'Detailed Budget'!Z11:'Detailed Budget'!Z234,$A$1,'Detailed Budget'!AN11:'Detailed Budget'!AN234,$I15)+SUMIFS('Detailed Budget'!AH11:'Detailed Budget'!AH234,'Detailed Budget'!Z11:'Detailed Budget'!Z234,$A$1,'Detailed Budget'!AN11:'Detailed Budget'!AN234,$I15)+'Option 1'!E15</f>
        <v>50000</v>
      </c>
      <c r="F15" s="17">
        <f>SUMIFS('Detailed Budget'!AI11:'Detailed Budget'!AI234,'Detailed Budget'!Z11:'Detailed Budget'!Z234,$A$1,'Detailed Budget'!AN11:'Detailed Budget'!AN234,$I15)+SUMIFS('Detailed Budget'!AJ11:'Detailed Budget'!AJ234,'Detailed Budget'!Z11:'Detailed Budget'!Z234,$A$1,'Detailed Budget'!AN11:'Detailed Budget'!AN234,$I15)+'Option 1'!F15</f>
        <v>25000</v>
      </c>
      <c r="G15" s="17">
        <f>SUMIFS('Detailed Budget'!AK25:'Detailed Budget'!AK234,'Detailed Budget'!Z25:'Detailed Budget'!Z234,$A$1,'Detailed Budget'!AN25:'Detailed Budget'!AN234,$I15)+SUMIFS('Detailed Budget'!AL25:'Detailed Budget'!AL234,'Detailed Budget'!Z25:'Detailed Budget'!Z234,$A$1,'Detailed Budget'!AN25:'Detailed Budget'!AN234,$I15)+'Option 1'!G15</f>
        <v>12500</v>
      </c>
      <c r="H15" s="20">
        <f>SUM(B15:G15)</f>
        <v>125000</v>
      </c>
      <c r="I15" s="68">
        <v>11</v>
      </c>
      <c r="L15" s="1"/>
      <c r="M15" s="33"/>
    </row>
    <row r="16" spans="1:13" ht="14.05" customHeight="1" thickBot="1" x14ac:dyDescent="0.6">
      <c r="A16" s="21" t="s">
        <v>92</v>
      </c>
      <c r="B16" s="17"/>
      <c r="C16" s="17"/>
      <c r="D16" s="17"/>
      <c r="E16" s="17"/>
      <c r="F16" s="17"/>
      <c r="G16" s="17"/>
      <c r="H16" s="25">
        <f>SUM(H5:H15)*1/9</f>
        <v>1493824.5681533394</v>
      </c>
      <c r="I16" s="68">
        <v>12</v>
      </c>
      <c r="L16" s="1"/>
      <c r="M16" s="33"/>
    </row>
    <row r="17" spans="1:13" ht="14.05" customHeight="1" thickTop="1" thickBot="1" x14ac:dyDescent="0.6">
      <c r="A17" s="26" t="s">
        <v>114</v>
      </c>
      <c r="B17" s="27">
        <f t="shared" ref="B17:G17" si="1">SUM(B5:B15)</f>
        <v>327400</v>
      </c>
      <c r="C17" s="27">
        <f t="shared" si="1"/>
        <v>283220</v>
      </c>
      <c r="D17" s="27">
        <f t="shared" si="1"/>
        <v>4786998.24</v>
      </c>
      <c r="E17" s="27">
        <f t="shared" si="1"/>
        <v>5786791.5133800544</v>
      </c>
      <c r="F17" s="27">
        <f t="shared" si="1"/>
        <v>2028631.36</v>
      </c>
      <c r="G17" s="27">
        <f t="shared" si="1"/>
        <v>231380</v>
      </c>
      <c r="H17" s="27">
        <f>SUM(H5:H16)</f>
        <v>14938245.681533393</v>
      </c>
      <c r="M17" s="33"/>
    </row>
    <row r="18" spans="1:13" ht="14.05" customHeight="1" thickBot="1" x14ac:dyDescent="0.6">
      <c r="A18" s="28"/>
      <c r="B18" s="29"/>
      <c r="C18" s="29"/>
      <c r="D18" s="29"/>
      <c r="E18" s="29"/>
      <c r="F18" s="29"/>
      <c r="G18" s="30"/>
      <c r="H18" s="29"/>
    </row>
    <row r="19" spans="1:13" ht="14.05" customHeight="1" thickTop="1" thickBot="1" x14ac:dyDescent="0.6">
      <c r="A19" s="16" t="s">
        <v>188</v>
      </c>
      <c r="B19" s="31">
        <f>SUMIFS('Detailed Budget'!AB8:'Detailed Budget'!AB172,'Detailed Budget'!Z8:'Detailed Budget'!Z172,$A$1)/'Detailed Budget'!$K$6/48/'Detailed Budget'!$I$4+SUMIFS('Detailed Budget'!AB175:'Detailed Budget'!AB260,'Detailed Budget'!Z175:'Detailed Budget'!Z260,$A$1,'Detailed Budget'!AN175:'Detailed Budget'!AN260,$I12)/'Detailed Budget'!$K$6/48/'Detailed Budget'!I5+'Option 1'!B19</f>
        <v>3</v>
      </c>
      <c r="C19" s="31">
        <f>SUMIFS('Detailed Budget'!AD8:'Detailed Budget'!AD172,'Detailed Budget'!Z8:'Detailed Budget'!Z172,$A$1)/'Detailed Budget'!$K$6/48/'Detailed Budget'!$I$4+SUMIFS('Detailed Budget'!AD175:'Detailed Budget'!AD260,'Detailed Budget'!Z175:'Detailed Budget'!Z260,$A$1,'Detailed Budget'!AN175:'Detailed Budget'!AN260,$I12)/'Detailed Budget'!$K$6/48/'Detailed Budget'!I5+'Option 1'!C19</f>
        <v>2.25</v>
      </c>
      <c r="D19" s="31">
        <f>SUMIFS('Detailed Budget'!AF8:'Detailed Budget'!AF172,'Detailed Budget'!Z8:'Detailed Budget'!Z172,$A$1)/'Detailed Budget'!$K$6/48/'Detailed Budget'!$I$4+SUMIFS('Detailed Budget'!AF175:'Detailed Budget'!AF260,'Detailed Budget'!Z175:'Detailed Budget'!Z260,$A$1,'Detailed Budget'!AN175:'Detailed Budget'!AN260,$I12)/'Detailed Budget'!$K$6/48/'Detailed Budget'!I5+'Option 1'!D19</f>
        <v>8.7625937499999988</v>
      </c>
      <c r="E19" s="31">
        <f>SUMIFS('Detailed Budget'!AH8:'Detailed Budget'!AH172,'Detailed Budget'!Z8:'Detailed Budget'!Z172,$A$1)/'Detailed Budget'!$K$6/48/'Detailed Budget'!$I$4++SUMIFS('Detailed Budget'!AH175:'Detailed Budget'!AH260,'Detailed Budget'!Z175:'Detailed Budget'!Z260,$A$1,'Detailed Budget'!AN175:'Detailed Budget'!AN260,$I12)/'Detailed Budget'!$K$6/48/'Detailed Budget'!I5+'Option 1'!E19</f>
        <v>9.1459895833333338</v>
      </c>
      <c r="F19" s="31">
        <f>SUMIFS('Detailed Budget'!AJ8:'Detailed Budget'!AJ172,'Detailed Budget'!Z8:'Detailed Budget'!Z172,$A$1)/'Detailed Budget'!$K$6/48/'Detailed Budget'!$I$4+SUMIFS('Detailed Budget'!AJ175:'Detailed Budget'!AJ260,'Detailed Budget'!Z175:'Detailed Budget'!Z260,$A$1,'Detailed Budget'!AN175:'Detailed Budget'!AN260,$I12)/'Detailed Budget'!$K$6/48/'Detailed Budget'!I5+'Option 1'!F19</f>
        <v>4.1750625000000001</v>
      </c>
      <c r="G19" s="31">
        <f>SUMIFS('Detailed Budget'!AL8:'Detailed Budget'!AL172,'Detailed Budget'!Z8:'Detailed Budget'!Z172,$A$1)/'Detailed Budget'!$K$6/48/'Detailed Budget'!$I$4+SUMIFS('Detailed Budget'!AL175:'Detailed Budget'!AL260,'Detailed Budget'!Z175:'Detailed Budget'!Z260,$A$1,'Detailed Budget'!AN175:'Detailed Budget'!AN260,$I12)/'Detailed Budget'!$K$6/48/'Detailed Budget'!I5+'Option 1'!G19</f>
        <v>1.8125</v>
      </c>
      <c r="H19" s="31">
        <f>SUM(B19:G19)</f>
        <v>29.146145833333332</v>
      </c>
    </row>
  </sheetData>
  <mergeCells count="8"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H19" sqref="A3:H19"/>
    </sheetView>
  </sheetViews>
  <sheetFormatPr defaultRowHeight="14.4" x14ac:dyDescent="0.55000000000000004"/>
  <cols>
    <col min="1" max="1" width="14.578125" customWidth="1"/>
    <col min="2" max="8" width="10.3671875" customWidth="1"/>
    <col min="13" max="13" width="12.26171875" customWidth="1"/>
  </cols>
  <sheetData>
    <row r="1" spans="1:13" ht="14.4" customHeight="1" x14ac:dyDescent="0.55000000000000004">
      <c r="A1">
        <v>3</v>
      </c>
    </row>
    <row r="2" spans="1:13" ht="14.7" thickBot="1" x14ac:dyDescent="0.6">
      <c r="M2" s="33"/>
    </row>
    <row r="3" spans="1:13" ht="18" customHeight="1" x14ac:dyDescent="0.55000000000000004">
      <c r="A3" s="95"/>
      <c r="B3" s="97" t="s">
        <v>182</v>
      </c>
      <c r="C3" s="97" t="s">
        <v>183</v>
      </c>
      <c r="D3" s="97" t="s">
        <v>184</v>
      </c>
      <c r="E3" s="97" t="s">
        <v>185</v>
      </c>
      <c r="F3" s="97" t="s">
        <v>186</v>
      </c>
      <c r="G3" s="91" t="s">
        <v>187</v>
      </c>
      <c r="H3" s="93" t="s">
        <v>114</v>
      </c>
      <c r="L3" s="1"/>
      <c r="M3" s="33"/>
    </row>
    <row r="4" spans="1:13" ht="18" customHeight="1" thickBot="1" x14ac:dyDescent="0.6">
      <c r="A4" s="96"/>
      <c r="B4" s="98"/>
      <c r="C4" s="98"/>
      <c r="D4" s="98"/>
      <c r="E4" s="98"/>
      <c r="F4" s="98"/>
      <c r="G4" s="92"/>
      <c r="H4" s="94"/>
      <c r="L4" s="1"/>
      <c r="M4" s="33"/>
    </row>
    <row r="5" spans="1:13" ht="14.05" customHeight="1" thickBot="1" x14ac:dyDescent="0.6">
      <c r="A5" s="16" t="s">
        <v>81</v>
      </c>
      <c r="B5" s="17">
        <f>SUMIFS('Detailed Budget'!AA1:'Detailed Budget'!AA224,'Detailed Budget'!Z1:'Detailed Budget'!Z224,"&lt;=$A$1",'Detailed Budget'!AN1:'Detailed Budget'!AN224,$I5)+SUMIFS('Detailed Budget'!AB1:'Detailed Budget'!AB224,'Detailed Budget'!Z1:'Detailed Budget'!Z224,"&lt;=$A$1",'Detailed Budget'!AN1:'Detailed Budget'!AN224,$I5)+'Option 2'!B5</f>
        <v>0</v>
      </c>
      <c r="C5" s="17">
        <f>SUMIFS('Detailed Budget'!AC1:'Detailed Budget'!AC224,'Detailed Budget'!Z1:'Detailed Budget'!Z224,$A$1,'Detailed Budget'!AN1:'Detailed Budget'!AN224,$I5)+SUMIFS('Detailed Budget'!AD1:'Detailed Budget'!AD224,'Detailed Budget'!Z1:'Detailed Budget'!Z224,$A$1,'Detailed Budget'!AN1:'Detailed Budget'!AN224,$I5)+'Option 2'!C5</f>
        <v>0</v>
      </c>
      <c r="D5" s="17">
        <f>SUMIFS('Detailed Budget'!AE1:'Detailed Budget'!AE224,'Detailed Budget'!Z1:'Detailed Budget'!Z224,$A$1,'Detailed Budget'!AN1:'Detailed Budget'!AN224,$I5)+SUMIFS('Detailed Budget'!AF1:'Detailed Budget'!AF224,'Detailed Budget'!Z1:'Detailed Budget'!Z224,$A$1,'Detailed Budget'!AN1:'Detailed Budget'!AN224,$I5)+'Option 2'!D5</f>
        <v>604470.4</v>
      </c>
      <c r="E5" s="17">
        <f>SUMIFS('Detailed Budget'!AG1:'Detailed Budget'!AG224,'Detailed Budget'!Z1:'Detailed Budget'!Z224,$A$1,'Detailed Budget'!AN1:'Detailed Budget'!AN224,$I5)+SUMIFS('Detailed Budget'!AH1:'Detailed Budget'!AH224,'Detailed Budget'!Z1:'Detailed Budget'!Z224,$A$1,'Detailed Budget'!AN1:'Detailed Budget'!AN224,$I5)+'Option 2'!E5</f>
        <v>1875290.3133800537</v>
      </c>
      <c r="F5" s="17">
        <f>SUMIFS('Detailed Budget'!AI1:'Detailed Budget'!AI224,'Detailed Budget'!Z1:'Detailed Budget'!Z224,$A$1,'Detailed Budget'!AN1:'Detailed Budget'!AN224,$I5)+SUMIFS('Detailed Budget'!AJ1:'Detailed Budget'!AJ224,'Detailed Budget'!Z1:'Detailed Budget'!Z224,$A$1,'Detailed Budget'!AN1:'Detailed Budget'!AN224,$I5)+'Option 2'!F5</f>
        <v>421017.59999999998</v>
      </c>
      <c r="G5" s="17">
        <f>SUMIFS('Detailed Budget'!AK15:'Detailed Budget'!AK224,'Detailed Budget'!Z15:'Detailed Budget'!Z224,$A$1,'Detailed Budget'!AN15:'Detailed Budget'!AN224,$I5)+SUMIFS('Detailed Budget'!AL15:'Detailed Budget'!AL224,'Detailed Budget'!Z15:'Detailed Budget'!Z224,$A$1,'Detailed Budget'!AN15:'Detailed Budget'!AN224,$I5)+'Option 2'!G5</f>
        <v>0</v>
      </c>
      <c r="H5" s="18">
        <f>SUM(B5:G5)</f>
        <v>2900778.3133800537</v>
      </c>
      <c r="I5" s="67">
        <v>1</v>
      </c>
      <c r="L5" s="1"/>
      <c r="M5" s="33"/>
    </row>
    <row r="6" spans="1:13" ht="14.05" customHeight="1" thickBot="1" x14ac:dyDescent="0.6">
      <c r="A6" s="16" t="s">
        <v>82</v>
      </c>
      <c r="B6" s="17">
        <f>SUMIFS('Detailed Budget'!AA2:'Detailed Budget'!AA225,'Detailed Budget'!Z2:'Detailed Budget'!Z225,"&lt;=$A$1",'Detailed Budget'!AN2:'Detailed Budget'!AN225,$I6)+SUMIFS('Detailed Budget'!AB2:'Detailed Budget'!AB225,'Detailed Budget'!Z2:'Detailed Budget'!Z225,"&lt;=$A$1",'Detailed Budget'!AN2:'Detailed Budget'!AN225,$I6)+'Option 2'!B6</f>
        <v>0</v>
      </c>
      <c r="C6" s="17">
        <f>SUMIFS('Detailed Budget'!AC2:'Detailed Budget'!AC225,'Detailed Budget'!Z2:'Detailed Budget'!Z225,$A$1,'Detailed Budget'!AN2:'Detailed Budget'!AN225,$I6)+SUMIFS('Detailed Budget'!AD2:'Detailed Budget'!AD225,'Detailed Budget'!Z2:'Detailed Budget'!Z225,$A$1,'Detailed Budget'!AN2:'Detailed Budget'!AN225,$I6)+'Option 2'!C6</f>
        <v>0</v>
      </c>
      <c r="D6" s="17">
        <f>SUMIFS('Detailed Budget'!AE2:'Detailed Budget'!AE225,'Detailed Budget'!Z2:'Detailed Budget'!Z225,$A$1,'Detailed Budget'!AN2:'Detailed Budget'!AN225,$I6)+SUMIFS('Detailed Budget'!AF2:'Detailed Budget'!AF225,'Detailed Budget'!Z2:'Detailed Budget'!Z225,$A$1,'Detailed Budget'!AN2:'Detailed Budget'!AN225,$I6)+'Option 2'!D6</f>
        <v>1411800</v>
      </c>
      <c r="E6" s="17">
        <f>SUMIFS('Detailed Budget'!AG2:'Detailed Budget'!AG225,'Detailed Budget'!Z2:'Detailed Budget'!Z225,$A$1,'Detailed Budget'!AN2:'Detailed Budget'!AN225,$I6)+SUMIFS('Detailed Budget'!AH2:'Detailed Budget'!AH225,'Detailed Budget'!Z2:'Detailed Budget'!Z225,$A$1,'Detailed Budget'!AN2:'Detailed Budget'!AN225,$I6)+'Option 2'!E6</f>
        <v>850000</v>
      </c>
      <c r="F6" s="17">
        <f>SUMIFS('Detailed Budget'!AI2:'Detailed Budget'!AI225,'Detailed Budget'!Z2:'Detailed Budget'!Z225,$A$1,'Detailed Budget'!AN2:'Detailed Budget'!AN225,$I6)+SUMIFS('Detailed Budget'!AJ2:'Detailed Budget'!AJ225,'Detailed Budget'!Z2:'Detailed Budget'!Z225,$A$1,'Detailed Budget'!AN2:'Detailed Budget'!AN225,$I6)+'Option 2'!F6</f>
        <v>425000</v>
      </c>
      <c r="G6" s="17">
        <f>SUMIFS('Detailed Budget'!AK16:'Detailed Budget'!AK225,'Detailed Budget'!Z16:'Detailed Budget'!Z225,$A$1,'Detailed Budget'!AN16:'Detailed Budget'!AN225,$I6)+SUMIFS('Detailed Budget'!AL16:'Detailed Budget'!AL225,'Detailed Budget'!Z16:'Detailed Budget'!Z225,$A$1,'Detailed Budget'!AN16:'Detailed Budget'!AN225,$I6)+'Option 2'!G6</f>
        <v>0</v>
      </c>
      <c r="H6" s="18">
        <f t="shared" ref="H6:H14" si="0">SUM(B6:G6)</f>
        <v>2686800</v>
      </c>
      <c r="I6" s="67">
        <v>2</v>
      </c>
      <c r="L6" s="1"/>
      <c r="M6" s="33"/>
    </row>
    <row r="7" spans="1:13" ht="14.05" customHeight="1" thickBot="1" x14ac:dyDescent="0.6">
      <c r="A7" s="16" t="s">
        <v>83</v>
      </c>
      <c r="B7" s="17">
        <f>SUMIFS('Detailed Budget'!AA3:'Detailed Budget'!AA226,'Detailed Budget'!Z3:'Detailed Budget'!Z226,"&lt;=$A$1",'Detailed Budget'!AN3:'Detailed Budget'!AN226,$I7)+SUMIFS('Detailed Budget'!AB3:'Detailed Budget'!AB226,'Detailed Budget'!Z3:'Detailed Budget'!Z226,"&lt;=$A$1",'Detailed Budget'!AN3:'Detailed Budget'!AN226,$I7)+'Option 2'!B7</f>
        <v>0</v>
      </c>
      <c r="C7" s="17">
        <f>SUMIFS('Detailed Budget'!AC3:'Detailed Budget'!AC226,'Detailed Budget'!Z3:'Detailed Budget'!Z226,$A$1,'Detailed Budget'!AN3:'Detailed Budget'!AN226,$I7)+SUMIFS('Detailed Budget'!AD3:'Detailed Budget'!AD226,'Detailed Budget'!Z3:'Detailed Budget'!Z226,$A$1,'Detailed Budget'!AN3:'Detailed Budget'!AN226,$I7)+'Option 2'!C7</f>
        <v>0</v>
      </c>
      <c r="D7" s="17">
        <f>SUMIFS('Detailed Budget'!AE3:'Detailed Budget'!AE226,'Detailed Budget'!Z3:'Detailed Budget'!Z226,$A$1,'Detailed Budget'!AN3:'Detailed Budget'!AN226,$I7)+SUMIFS('Detailed Budget'!AF3:'Detailed Budget'!AF226,'Detailed Budget'!Z3:'Detailed Budget'!Z226,$A$1,'Detailed Budget'!AN3:'Detailed Budget'!AN226,$I7)+'Option 2'!D7</f>
        <v>1308848</v>
      </c>
      <c r="E7" s="17">
        <f>SUMIFS('Detailed Budget'!AG3:'Detailed Budget'!AG226,'Detailed Budget'!Z3:'Detailed Budget'!Z226,$A$1,'Detailed Budget'!AN3:'Detailed Budget'!AN226,$I7)+SUMIFS('Detailed Budget'!AH3:'Detailed Budget'!AH226,'Detailed Budget'!Z3:'Detailed Budget'!Z226,$A$1,'Detailed Budget'!AN3:'Detailed Budget'!AN226,$I7)+'Option 2'!E7</f>
        <v>189184</v>
      </c>
      <c r="F7" s="17">
        <f>SUMIFS('Detailed Budget'!AI3:'Detailed Budget'!AI226,'Detailed Budget'!Z3:'Detailed Budget'!Z226,$A$1,'Detailed Budget'!AN3:'Detailed Budget'!AN226,$I7)+SUMIFS('Detailed Budget'!AJ3:'Detailed Budget'!AJ226,'Detailed Budget'!Z3:'Detailed Budget'!Z226,$A$1,'Detailed Budget'!AN3:'Detailed Budget'!AN226,$I7)+'Option 2'!F7</f>
        <v>0</v>
      </c>
      <c r="G7" s="17">
        <f>SUMIFS('Detailed Budget'!AK17:'Detailed Budget'!AK226,'Detailed Budget'!Z17:'Detailed Budget'!Z226,$A$1,'Detailed Budget'!AN17:'Detailed Budget'!AN226,$I7)+SUMIFS('Detailed Budget'!AL17:'Detailed Budget'!AL226,'Detailed Budget'!Z17:'Detailed Budget'!Z226,$A$1,'Detailed Budget'!AN17:'Detailed Budget'!AN226,$I7)+'Option 2'!G7</f>
        <v>4608</v>
      </c>
      <c r="H7" s="18">
        <f t="shared" si="0"/>
        <v>1502640</v>
      </c>
      <c r="I7" s="67">
        <v>3</v>
      </c>
      <c r="J7" s="4"/>
      <c r="L7" s="1"/>
      <c r="M7" s="33"/>
    </row>
    <row r="8" spans="1:13" ht="21" customHeight="1" thickBot="1" x14ac:dyDescent="0.6">
      <c r="A8" s="16" t="s">
        <v>84</v>
      </c>
      <c r="B8" s="17">
        <f>SUMIFS('Detailed Budget'!AA4:'Detailed Budget'!AA227,'Detailed Budget'!Z4:'Detailed Budget'!Z227,"&lt;=$A$1",'Detailed Budget'!AN4:'Detailed Budget'!AN227,$I8)+SUMIFS('Detailed Budget'!AB4:'Detailed Budget'!AB227,'Detailed Budget'!Z4:'Detailed Budget'!Z227,"&lt;=$A$1",'Detailed Budget'!AN4:'Detailed Budget'!AN227,$I8)+'Option 2'!B8</f>
        <v>0</v>
      </c>
      <c r="C8" s="17">
        <f>SUMIFS('Detailed Budget'!AC4:'Detailed Budget'!AC227,'Detailed Budget'!Z4:'Detailed Budget'!Z227,$A$1,'Detailed Budget'!AN4:'Detailed Budget'!AN227,$I8)+SUMIFS('Detailed Budget'!AD4:'Detailed Budget'!AD227,'Detailed Budget'!Z4:'Detailed Budget'!Z227,$A$1,'Detailed Budget'!AN4:'Detailed Budget'!AN227,$I8)+'Option 2'!C8</f>
        <v>0</v>
      </c>
      <c r="D8" s="17">
        <f>SUMIFS('Detailed Budget'!AE4:'Detailed Budget'!AE227,'Detailed Budget'!Z4:'Detailed Budget'!Z227,$A$1,'Detailed Budget'!AN4:'Detailed Budget'!AN227,$I8)+SUMIFS('Detailed Budget'!AF4:'Detailed Budget'!AF227,'Detailed Budget'!Z4:'Detailed Budget'!Z227,$A$1,'Detailed Budget'!AN4:'Detailed Budget'!AN227,$I8)+'Option 2'!D8</f>
        <v>0</v>
      </c>
      <c r="E8" s="17">
        <f>SUMIFS('Detailed Budget'!AG4:'Detailed Budget'!AG227,'Detailed Budget'!Z4:'Detailed Budget'!Z227,$A$1,'Detailed Budget'!AN4:'Detailed Budget'!AN227,$I8)+SUMIFS('Detailed Budget'!AH4:'Detailed Budget'!AH227,'Detailed Budget'!Z4:'Detailed Budget'!Z227,$A$1,'Detailed Budget'!AN4:'Detailed Budget'!AN227,$I8)+'Option 2'!E8</f>
        <v>306912</v>
      </c>
      <c r="F8" s="17">
        <f>SUMIFS('Detailed Budget'!AI4:'Detailed Budget'!AI227,'Detailed Budget'!Z4:'Detailed Budget'!Z227,$A$1,'Detailed Budget'!AN4:'Detailed Budget'!AN227,$I8)+SUMIFS('Detailed Budget'!AJ4:'Detailed Budget'!AJ227,'Detailed Budget'!Z4:'Detailed Budget'!Z227,$A$1,'Detailed Budget'!AN4:'Detailed Budget'!AN227,$I8)+'Option 2'!F8</f>
        <v>20736</v>
      </c>
      <c r="G8" s="17">
        <f>SUMIFS('Detailed Budget'!AK18:'Detailed Budget'!AK227,'Detailed Budget'!Z18:'Detailed Budget'!Z227,$A$1,'Detailed Budget'!AN18:'Detailed Budget'!AN227,$I8)+SUMIFS('Detailed Budget'!AL18:'Detailed Budget'!AL227,'Detailed Budget'!Z18:'Detailed Budget'!Z227,$A$1,'Detailed Budget'!AN18:'Detailed Budget'!AN227,$I8)+'Option 2'!G8</f>
        <v>6912</v>
      </c>
      <c r="H8" s="18">
        <f t="shared" si="0"/>
        <v>334560</v>
      </c>
      <c r="I8" s="68">
        <v>4</v>
      </c>
      <c r="J8" s="4"/>
      <c r="L8" s="1"/>
      <c r="M8" s="33"/>
    </row>
    <row r="9" spans="1:13" ht="21" customHeight="1" thickBot="1" x14ac:dyDescent="0.6">
      <c r="A9" s="16" t="s">
        <v>85</v>
      </c>
      <c r="B9" s="17">
        <f>SUMIFS('Detailed Budget'!AA5:'Detailed Budget'!AA228,'Detailed Budget'!Z5:'Detailed Budget'!Z228,"&lt;=$A$1",'Detailed Budget'!AN5:'Detailed Budget'!AN228,$I9)+SUMIFS('Detailed Budget'!AB5:'Detailed Budget'!AB228,'Detailed Budget'!Z5:'Detailed Budget'!Z228,"&lt;=$A$1",'Detailed Budget'!AN5:'Detailed Budget'!AN228,$I9)+'Option 2'!B9</f>
        <v>0</v>
      </c>
      <c r="C9" s="17">
        <f>SUMIFS('Detailed Budget'!AC5:'Detailed Budget'!AC228,'Detailed Budget'!Z5:'Detailed Budget'!Z228,$A$1,'Detailed Budget'!AN5:'Detailed Budget'!AN228,$I9)+SUMIFS('Detailed Budget'!AD5:'Detailed Budget'!AD228,'Detailed Budget'!Z5:'Detailed Budget'!Z228,$A$1,'Detailed Budget'!AN5:'Detailed Budget'!AN228,$I9)+'Option 2'!C9</f>
        <v>0</v>
      </c>
      <c r="D9" s="17">
        <f>SUMIFS('Detailed Budget'!AE5:'Detailed Budget'!AE228,'Detailed Budget'!Z5:'Detailed Budget'!Z228,$A$1,'Detailed Budget'!AN5:'Detailed Budget'!AN228,$I9)+SUMIFS('Detailed Budget'!AF5:'Detailed Budget'!AF228,'Detailed Budget'!Z5:'Detailed Budget'!Z228,$A$1,'Detailed Budget'!AN5:'Detailed Budget'!AN228,$I9)+'Option 2'!D9</f>
        <v>633519.84</v>
      </c>
      <c r="E9" s="17">
        <f>SUMIFS('Detailed Budget'!AG5:'Detailed Budget'!AG228,'Detailed Budget'!Z5:'Detailed Budget'!Z228,$A$1,'Detailed Budget'!AN5:'Detailed Budget'!AN228,$I9)+SUMIFS('Detailed Budget'!AH5:'Detailed Budget'!AH228,'Detailed Budget'!Z5:'Detailed Budget'!Z228,$A$1,'Detailed Budget'!AN5:'Detailed Budget'!AN228,$I9)+'Option 2'!E9</f>
        <v>1540662.4</v>
      </c>
      <c r="F9" s="17">
        <f>SUMIFS('Detailed Budget'!AI5:'Detailed Budget'!AI228,'Detailed Budget'!Z5:'Detailed Budget'!Z228,$A$1,'Detailed Budget'!AN5:'Detailed Budget'!AN228,$I9)+SUMIFS('Detailed Budget'!AJ5:'Detailed Budget'!AJ228,'Detailed Budget'!Z5:'Detailed Budget'!Z228,$A$1,'Detailed Budget'!AN5:'Detailed Budget'!AN228,$I9)+'Option 2'!F9</f>
        <v>982170.56</v>
      </c>
      <c r="G9" s="17">
        <f>SUMIFS('Detailed Budget'!AK19:'Detailed Budget'!AK228,'Detailed Budget'!Z19:'Detailed Budget'!Z228,$A$1,'Detailed Budget'!AN19:'Detailed Budget'!AN228,$I9)+SUMIFS('Detailed Budget'!AL19:'Detailed Budget'!AL228,'Detailed Budget'!Z19:'Detailed Budget'!Z228,$A$1,'Detailed Budget'!AN19:'Detailed Budget'!AN228,$I9)+'Option 2'!G9</f>
        <v>0</v>
      </c>
      <c r="H9" s="18">
        <f t="shared" si="0"/>
        <v>3156352.8</v>
      </c>
      <c r="I9" s="68">
        <v>5</v>
      </c>
      <c r="J9" s="4"/>
      <c r="L9" s="1"/>
      <c r="M9" s="33"/>
    </row>
    <row r="10" spans="1:13" ht="21" customHeight="1" thickBot="1" x14ac:dyDescent="0.6">
      <c r="A10" s="16" t="s">
        <v>86</v>
      </c>
      <c r="B10" s="17">
        <f>SUMIFS('Detailed Budget'!AA6:'Detailed Budget'!AA229,'Detailed Budget'!Z6:'Detailed Budget'!Z229,"&lt;=$A$1",'Detailed Budget'!AN6:'Detailed Budget'!AN229,$I10)+SUMIFS('Detailed Budget'!AB6:'Detailed Budget'!AB229,'Detailed Budget'!Z6:'Detailed Budget'!Z229,"&lt;=$A$1",'Detailed Budget'!AN6:'Detailed Budget'!AN229,$I10)+'Option 2'!B10</f>
        <v>0</v>
      </c>
      <c r="C10" s="17">
        <f>SUMIFS('Detailed Budget'!AC6:'Detailed Budget'!AC229,'Detailed Budget'!Z6:'Detailed Budget'!Z229,$A$1,'Detailed Budget'!AN6:'Detailed Budget'!AN229,$I10)+SUMIFS('Detailed Budget'!AD6:'Detailed Budget'!AD229,'Detailed Budget'!Z6:'Detailed Budget'!Z229,$A$1,'Detailed Budget'!AN6:'Detailed Budget'!AN229,$I10)+'Option 2'!C10</f>
        <v>0</v>
      </c>
      <c r="D10" s="17">
        <f>SUMIFS('Detailed Budget'!AE6:'Detailed Budget'!AE229,'Detailed Budget'!Z6:'Detailed Budget'!Z229,$A$1,'Detailed Budget'!AN6:'Detailed Budget'!AN229,$I10)+SUMIFS('Detailed Budget'!AF6:'Detailed Budget'!AF229,'Detailed Budget'!Z6:'Detailed Budget'!Z229,$A$1,'Detailed Budget'!AN6:'Detailed Budget'!AN229,$I10)+'Option 2'!D10</f>
        <v>0</v>
      </c>
      <c r="E10" s="17">
        <f>SUMIFS('Detailed Budget'!AG6:'Detailed Budget'!AG229,'Detailed Budget'!Z6:'Detailed Budget'!Z229,$A$1,'Detailed Budget'!AN6:'Detailed Budget'!AN229,$I10)+SUMIFS('Detailed Budget'!AH6:'Detailed Budget'!AH229,'Detailed Budget'!Z6:'Detailed Budget'!Z229,$A$1,'Detailed Budget'!AN6:'Detailed Budget'!AN229,$I10)+'Option 2'!E10</f>
        <v>0</v>
      </c>
      <c r="F10" s="17">
        <f>SUMIFS('Detailed Budget'!AI6:'Detailed Budget'!AI229,'Detailed Budget'!Z6:'Detailed Budget'!Z229,$A$1,'Detailed Budget'!AN6:'Detailed Budget'!AN229,$I10)+SUMIFS('Detailed Budget'!AJ6:'Detailed Budget'!AJ229,'Detailed Budget'!Z6:'Detailed Budget'!Z229,$A$1,'Detailed Budget'!AN6:'Detailed Budget'!AN229,$I10)+'Option 2'!F10</f>
        <v>0</v>
      </c>
      <c r="G10" s="17">
        <f>SUMIFS('Detailed Budget'!AK20:'Detailed Budget'!AK229,'Detailed Budget'!Z20:'Detailed Budget'!Z229,$A$1,'Detailed Budget'!AN20:'Detailed Budget'!AN229,$I10)+SUMIFS('Detailed Budget'!AL20:'Detailed Budget'!AL229,'Detailed Budget'!Z20:'Detailed Budget'!Z229,$A$1,'Detailed Budget'!AN20:'Detailed Budget'!AN229,$I10)+'Option 2'!G10</f>
        <v>0</v>
      </c>
      <c r="H10" s="18">
        <f t="shared" si="0"/>
        <v>0</v>
      </c>
      <c r="I10" s="68">
        <v>6</v>
      </c>
      <c r="J10" s="4"/>
      <c r="L10" s="1"/>
      <c r="M10" s="33"/>
    </row>
    <row r="11" spans="1:13" ht="21" customHeight="1" thickBot="1" x14ac:dyDescent="0.6">
      <c r="A11" s="16" t="s">
        <v>87</v>
      </c>
      <c r="B11" s="17">
        <f>SUMIFS('Detailed Budget'!AA7:'Detailed Budget'!AA230,'Detailed Budget'!Z7:'Detailed Budget'!Z230,"&lt;=$A$1",'Detailed Budget'!AN7:'Detailed Budget'!AN230,$I11)+SUMIFS('Detailed Budget'!AB7:'Detailed Budget'!AB230,'Detailed Budget'!Z7:'Detailed Budget'!Z230,"&lt;=$A$1",'Detailed Budget'!AN7:'Detailed Budget'!AN230,$I11)+'Option 2'!B11</f>
        <v>0</v>
      </c>
      <c r="C11" s="17">
        <f>SUMIFS('Detailed Budget'!AC7:'Detailed Budget'!AC230,'Detailed Budget'!Z7:'Detailed Budget'!Z230,$A$1,'Detailed Budget'!AN7:'Detailed Budget'!AN230,$I11)+SUMIFS('Detailed Budget'!AD7:'Detailed Budget'!AD230,'Detailed Budget'!Z7:'Detailed Budget'!Z230,$A$1,'Detailed Budget'!AN7:'Detailed Budget'!AN230,$I11)+'Option 2'!C11</f>
        <v>0</v>
      </c>
      <c r="D11" s="17">
        <f>SUMIFS('Detailed Budget'!AE7:'Detailed Budget'!AE230,'Detailed Budget'!Z7:'Detailed Budget'!Z230,$A$1,'Detailed Budget'!AN7:'Detailed Budget'!AN230,$I11)+SUMIFS('Detailed Budget'!AF7:'Detailed Budget'!AF230,'Detailed Budget'!Z7:'Detailed Budget'!Z230,$A$1,'Detailed Budget'!AN7:'Detailed Budget'!AN230,$I11)+'Option 2'!D11</f>
        <v>0</v>
      </c>
      <c r="E11" s="17">
        <f>SUMIFS('Detailed Budget'!AG7:'Detailed Budget'!AG230,'Detailed Budget'!Z7:'Detailed Budget'!Z230,$A$1,'Detailed Budget'!AN7:'Detailed Budget'!AN230,$I11)+SUMIFS('Detailed Budget'!AH7:'Detailed Budget'!AH230,'Detailed Budget'!Z7:'Detailed Budget'!Z230,$A$1,'Detailed Budget'!AN7:'Detailed Budget'!AN230,$I11)+'Option 2'!E11</f>
        <v>548432</v>
      </c>
      <c r="F11" s="17">
        <f>SUMIFS('Detailed Budget'!AI7:'Detailed Budget'!AI230,'Detailed Budget'!Z7:'Detailed Budget'!Z230,$A$1,'Detailed Budget'!AN7:'Detailed Budget'!AN230,$I11)+SUMIFS('Detailed Budget'!AJ7:'Detailed Budget'!AJ230,'Detailed Budget'!Z7:'Detailed Budget'!Z230,$A$1,'Detailed Budget'!AN7:'Detailed Budget'!AN230,$I11)+'Option 2'!F11</f>
        <v>4608</v>
      </c>
      <c r="G11" s="17">
        <f>SUMIFS('Detailed Budget'!AK21:'Detailed Budget'!AK230,'Detailed Budget'!Z21:'Detailed Budget'!Z230,$A$1,'Detailed Budget'!AN21:'Detailed Budget'!AN230,$I11)+SUMIFS('Detailed Budget'!AL21:'Detailed Budget'!AL230,'Detailed Budget'!Z21:'Detailed Budget'!Z230,$A$1,'Detailed Budget'!AN21:'Detailed Budget'!AN230,$I11)+'Option 2'!G11</f>
        <v>0</v>
      </c>
      <c r="H11" s="18">
        <f t="shared" si="0"/>
        <v>553040</v>
      </c>
      <c r="I11" s="68">
        <v>7</v>
      </c>
      <c r="L11" s="1"/>
      <c r="M11" s="33"/>
    </row>
    <row r="12" spans="1:13" ht="21" customHeight="1" thickBot="1" x14ac:dyDescent="0.6">
      <c r="A12" s="16" t="s">
        <v>88</v>
      </c>
      <c r="B12" s="17">
        <f>SUMIFS('Detailed Budget'!AA8:'Detailed Budget'!AA231,'Detailed Budget'!Z8:'Detailed Budget'!Z231,"&lt;=$A$1",'Detailed Budget'!AN8:'Detailed Budget'!AN231,$I12)+SUMIFS('Detailed Budget'!AB8:'Detailed Budget'!AB231,'Detailed Budget'!Z8:'Detailed Budget'!Z231,"&lt;=$A$1",'Detailed Budget'!AN8:'Detailed Budget'!AN231,$I12)+'Option 2'!B12</f>
        <v>327400</v>
      </c>
      <c r="C12" s="17">
        <f>SUMIFS('Detailed Budget'!AC8:'Detailed Budget'!AC231,'Detailed Budget'!Z8:'Detailed Budget'!Z231,$A$1,'Detailed Budget'!AN8:'Detailed Budget'!AN231,$I12)+SUMIFS('Detailed Budget'!AD8:'Detailed Budget'!AD231,'Detailed Budget'!Z8:'Detailed Budget'!Z231,$A$1,'Detailed Budget'!AN8:'Detailed Budget'!AN231,$I12)+'Option 2'!C12</f>
        <v>270720</v>
      </c>
      <c r="D12" s="17">
        <f>SUMIFS('Detailed Budget'!AE8:'Detailed Budget'!AE231,'Detailed Budget'!Z8:'Detailed Budget'!Z231,$A$1,'Detailed Budget'!AN8:'Detailed Budget'!AN231,$I12)+SUMIFS('Detailed Budget'!AF8:'Detailed Budget'!AF231,'Detailed Budget'!Z8:'Detailed Budget'!Z231,$A$1,'Detailed Budget'!AN8:'Detailed Budget'!AN231,$I12)+'Option 2'!D12</f>
        <v>714240</v>
      </c>
      <c r="E12" s="17">
        <f>SUMIFS('Detailed Budget'!AG8:'Detailed Budget'!AG231,'Detailed Budget'!Z8:'Detailed Budget'!Z231,$A$1,'Detailed Budget'!AN8:'Detailed Budget'!AN231,$I12)+SUMIFS('Detailed Budget'!AH8:'Detailed Budget'!AH231,'Detailed Budget'!Z8:'Detailed Budget'!Z231,$A$1,'Detailed Budget'!AN8:'Detailed Budget'!AN231,$I12)+'Option 2'!E12</f>
        <v>737280</v>
      </c>
      <c r="F12" s="17">
        <f>SUMIFS('Detailed Budget'!AI8:'Detailed Budget'!AI231,'Detailed Budget'!Z8:'Detailed Budget'!Z231,$A$1,'Detailed Budget'!AN8:'Detailed Budget'!AN231,$I12)+SUMIFS('Detailed Budget'!AJ8:'Detailed Budget'!AJ231,'Detailed Budget'!Z8:'Detailed Budget'!Z231,$A$1,'Detailed Budget'!AN8:'Detailed Budget'!AN231,$I12)+'Option 2'!F12</f>
        <v>276480</v>
      </c>
      <c r="G12" s="17">
        <f>SUMIFS('Detailed Budget'!AK22:'Detailed Budget'!AK231,'Detailed Budget'!Z22:'Detailed Budget'!Z231,$A$1,'Detailed Budget'!AN22:'Detailed Budget'!AN231,$I12)+SUMIFS('Detailed Budget'!AL22:'Detailed Budget'!AL231,'Detailed Budget'!Z22:'Detailed Budget'!Z231,$A$1,'Detailed Budget'!AN22:'Detailed Budget'!AN231,$I12)+'Option 2'!G12</f>
        <v>207360</v>
      </c>
      <c r="H12" s="18">
        <f t="shared" si="0"/>
        <v>2533480</v>
      </c>
      <c r="I12" s="68">
        <v>8</v>
      </c>
      <c r="L12" s="1"/>
      <c r="M12" s="33"/>
    </row>
    <row r="13" spans="1:13" ht="21" customHeight="1" thickBot="1" x14ac:dyDescent="0.6">
      <c r="A13" s="16" t="s">
        <v>89</v>
      </c>
      <c r="B13" s="17">
        <f>SUMIFS('Detailed Budget'!AA9:'Detailed Budget'!AA232,'Detailed Budget'!Z9:'Detailed Budget'!Z232,"&lt;=$A$1",'Detailed Budget'!AN9:'Detailed Budget'!AN232,$I13)+SUMIFS('Detailed Budget'!AB9:'Detailed Budget'!AB232,'Detailed Budget'!Z9:'Detailed Budget'!Z232,"&lt;=$A$1",'Detailed Budget'!AN9:'Detailed Budget'!AN232,$I13)+'Option 2'!B13</f>
        <v>0</v>
      </c>
      <c r="C13" s="17">
        <f>SUMIFS('Detailed Budget'!AC9:'Detailed Budget'!AC232,'Detailed Budget'!Z9:'Detailed Budget'!Z232,$A$1,'Detailed Budget'!AN9:'Detailed Budget'!AN232,$I13)+SUMIFS('Detailed Budget'!AD9:'Detailed Budget'!AD232,'Detailed Budget'!Z9:'Detailed Budget'!Z232,$A$1,'Detailed Budget'!AN9:'Detailed Budget'!AN232,$I13)+'Option 2'!C13</f>
        <v>0</v>
      </c>
      <c r="D13" s="17">
        <f>SUMIFS('Detailed Budget'!AE9:'Detailed Budget'!AE232,'Detailed Budget'!Z9:'Detailed Budget'!Z232,$A$1,'Detailed Budget'!AN9:'Detailed Budget'!AN232,$I13)+SUMIFS('Detailed Budget'!AF9:'Detailed Budget'!AF232,'Detailed Budget'!Z9:'Detailed Budget'!Z232,$A$1,'Detailed Budget'!AN9:'Detailed Budget'!AN232,$I13)+'Option 2'!D13</f>
        <v>698320</v>
      </c>
      <c r="E13" s="17">
        <f>SUMIFS('Detailed Budget'!AG9:'Detailed Budget'!AG232,'Detailed Budget'!Z9:'Detailed Budget'!Z232,$A$1,'Detailed Budget'!AN9:'Detailed Budget'!AN232,$I13)+SUMIFS('Detailed Budget'!AH9:'Detailed Budget'!AH232,'Detailed Budget'!Z9:'Detailed Budget'!Z232,$A$1,'Detailed Budget'!AN9:'Detailed Budget'!AN232,$I13)+'Option 2'!E13</f>
        <v>1849840</v>
      </c>
      <c r="F13" s="17">
        <f>SUMIFS('Detailed Budget'!AI9:'Detailed Budget'!AI232,'Detailed Budget'!Z9:'Detailed Budget'!Z232,$A$1,'Detailed Budget'!AN9:'Detailed Budget'!AN232,$I13)+SUMIFS('Detailed Budget'!AJ9:'Detailed Budget'!AJ232,'Detailed Budget'!Z9:'Detailed Budget'!Z232,$A$1,'Detailed Budget'!AN9:'Detailed Budget'!AN232,$I13)+'Option 2'!F13</f>
        <v>349760</v>
      </c>
      <c r="G13" s="17">
        <f>SUMIFS('Detailed Budget'!AK23:'Detailed Budget'!AK232,'Detailed Budget'!Z23:'Detailed Budget'!Z232,$A$1,'Detailed Budget'!AN23:'Detailed Budget'!AN232,$I13)+SUMIFS('Detailed Budget'!AL23:'Detailed Budget'!AL232,'Detailed Budget'!Z23:'Detailed Budget'!Z232,$A$1,'Detailed Budget'!AN23:'Detailed Budget'!AN232,$I13)+'Option 2'!G13</f>
        <v>0</v>
      </c>
      <c r="H13" s="18">
        <f t="shared" si="0"/>
        <v>2897920</v>
      </c>
      <c r="I13" s="68">
        <v>9</v>
      </c>
      <c r="L13" s="1"/>
      <c r="M13" s="33"/>
    </row>
    <row r="14" spans="1:13" ht="14.05" customHeight="1" thickBot="1" x14ac:dyDescent="0.6">
      <c r="A14" s="16" t="s">
        <v>90</v>
      </c>
      <c r="B14" s="17">
        <f>SUMIFS('Detailed Budget'!AA10:'Detailed Budget'!AA233,'Detailed Budget'!Z10:'Detailed Budget'!Z233,"&lt;=$A$1",'Detailed Budget'!AN10:'Detailed Budget'!AN233,$I14)+SUMIFS('Detailed Budget'!AB10:'Detailed Budget'!AB233,'Detailed Budget'!Z10:'Detailed Budget'!Z233,"&lt;=$A$1",'Detailed Budget'!AN10:'Detailed Budget'!AN233,$I14)+'Option 2'!B14</f>
        <v>0</v>
      </c>
      <c r="C14" s="17">
        <f>SUMIFS('Detailed Budget'!AC10:'Detailed Budget'!AC233,'Detailed Budget'!Z10:'Detailed Budget'!Z233,$A$1,'Detailed Budget'!AN10:'Detailed Budget'!AN233,$I14)+SUMIFS('Detailed Budget'!AD10:'Detailed Budget'!AD233,'Detailed Budget'!Z10:'Detailed Budget'!Z233,$A$1,'Detailed Budget'!AN10:'Detailed Budget'!AN233,$I14)+'Option 2'!C14</f>
        <v>0</v>
      </c>
      <c r="D14" s="17">
        <f>SUMIFS('Detailed Budget'!AE10:'Detailed Budget'!AE233,'Detailed Budget'!Z10:'Detailed Budget'!Z233,$A$1,'Detailed Budget'!AN10:'Detailed Budget'!AN233,$I14)+SUMIFS('Detailed Budget'!AF10:'Detailed Budget'!AF233,'Detailed Budget'!Z10:'Detailed Budget'!Z233,$A$1,'Detailed Budget'!AN10:'Detailed Budget'!AN233,$I14)+'Option 2'!D14</f>
        <v>0</v>
      </c>
      <c r="E14" s="17">
        <f>SUMIFS('Detailed Budget'!AG10:'Detailed Budget'!AG233,'Detailed Budget'!Z10:'Detailed Budget'!Z233,$A$1,'Detailed Budget'!AN10:'Detailed Budget'!AN233,$I14)+SUMIFS('Detailed Budget'!AH10:'Detailed Budget'!AH233,'Detailed Budget'!Z10:'Detailed Budget'!Z233,$A$1,'Detailed Budget'!AN10:'Detailed Budget'!AN233,$I14)+'Option 2'!E14</f>
        <v>0</v>
      </c>
      <c r="F14" s="17">
        <f>SUMIFS('Detailed Budget'!AI10:'Detailed Budget'!AI233,'Detailed Budget'!Z10:'Detailed Budget'!Z233,$A$1,'Detailed Budget'!AN10:'Detailed Budget'!AN233,$I14)+SUMIFS('Detailed Budget'!AJ10:'Detailed Budget'!AJ233,'Detailed Budget'!Z10:'Detailed Budget'!Z233,$A$1,'Detailed Budget'!AN10:'Detailed Budget'!AN233,$I14)+'Option 2'!F14</f>
        <v>0</v>
      </c>
      <c r="G14" s="17">
        <f>SUMIFS('Detailed Budget'!AK24:'Detailed Budget'!AK233,'Detailed Budget'!Z24:'Detailed Budget'!Z233,$A$1,'Detailed Budget'!AN24:'Detailed Budget'!AN233,$I14)+SUMIFS('Detailed Budget'!AL24:'Detailed Budget'!AL233,'Detailed Budget'!Z24:'Detailed Budget'!Z233,$A$1,'Detailed Budget'!AN24:'Detailed Budget'!AN233,$I14)+'Option 2'!G14</f>
        <v>0</v>
      </c>
      <c r="H14" s="18">
        <f t="shared" si="0"/>
        <v>0</v>
      </c>
      <c r="I14" s="68">
        <v>10</v>
      </c>
      <c r="L14" s="1"/>
      <c r="M14" s="33"/>
    </row>
    <row r="15" spans="1:13" ht="14.05" customHeight="1" thickBot="1" x14ac:dyDescent="0.6">
      <c r="A15" s="19" t="s">
        <v>91</v>
      </c>
      <c r="B15" s="17">
        <f>SUMIFS('Detailed Budget'!AA11:'Detailed Budget'!AA234,'Detailed Budget'!Z11:'Detailed Budget'!Z234,"&lt;=$A$1",'Detailed Budget'!AN11:'Detailed Budget'!AN234,$I15)+SUMIFS('Detailed Budget'!AB11:'Detailed Budget'!AB234,'Detailed Budget'!Z11:'Detailed Budget'!Z234,"&lt;=$A$1",'Detailed Budget'!AN11:'Detailed Budget'!AN234,$I15)+'Option 2'!B15</f>
        <v>0</v>
      </c>
      <c r="C15" s="17">
        <f>SUMIFS('Detailed Budget'!AC11:'Detailed Budget'!AC234,'Detailed Budget'!Z11:'Detailed Budget'!Z234,$A$1,'Detailed Budget'!AN11:'Detailed Budget'!AN234,$I15)+SUMIFS('Detailed Budget'!AD11:'Detailed Budget'!AD234,'Detailed Budget'!Z11:'Detailed Budget'!Z234,$A$1,'Detailed Budget'!AN11:'Detailed Budget'!AN234,$I15)+'Option 2'!C15</f>
        <v>12500</v>
      </c>
      <c r="D15" s="17">
        <f>SUMIFS('Detailed Budget'!AE11:'Detailed Budget'!AE234,'Detailed Budget'!Z11:'Detailed Budget'!Z234,$A$1,'Detailed Budget'!AN11:'Detailed Budget'!AN234,$I15)+SUMIFS('Detailed Budget'!AF11:'Detailed Budget'!AF234,'Detailed Budget'!Z11:'Detailed Budget'!Z234,$A$1,'Detailed Budget'!AN11:'Detailed Budget'!AN234,$I15)+'Option 2'!D15</f>
        <v>25000</v>
      </c>
      <c r="E15" s="17">
        <f>SUMIFS('Detailed Budget'!AG11:'Detailed Budget'!AG234,'Detailed Budget'!Z11:'Detailed Budget'!Z234,$A$1,'Detailed Budget'!AN11:'Detailed Budget'!AN234,$I15)+SUMIFS('Detailed Budget'!AH11:'Detailed Budget'!AH234,'Detailed Budget'!Z11:'Detailed Budget'!Z234,$A$1,'Detailed Budget'!AN11:'Detailed Budget'!AN234,$I15)+'Option 2'!E15</f>
        <v>100000</v>
      </c>
      <c r="F15" s="17">
        <f>SUMIFS('Detailed Budget'!AI11:'Detailed Budget'!AI234,'Detailed Budget'!Z11:'Detailed Budget'!Z234,$A$1,'Detailed Budget'!AN11:'Detailed Budget'!AN234,$I15)+SUMIFS('Detailed Budget'!AJ11:'Detailed Budget'!AJ234,'Detailed Budget'!Z11:'Detailed Budget'!Z234,$A$1,'Detailed Budget'!AN11:'Detailed Budget'!AN234,$I15)+'Option 2'!F15</f>
        <v>25000</v>
      </c>
      <c r="G15" s="17">
        <f>SUMIFS('Detailed Budget'!AK25:'Detailed Budget'!AK234,'Detailed Budget'!Z25:'Detailed Budget'!Z234,$A$1,'Detailed Budget'!AN25:'Detailed Budget'!AN234,$I15)+SUMIFS('Detailed Budget'!AL25:'Detailed Budget'!AL234,'Detailed Budget'!Z25:'Detailed Budget'!Z234,$A$1,'Detailed Budget'!AN25:'Detailed Budget'!AN234,$I15)+'Option 2'!G15</f>
        <v>12500</v>
      </c>
      <c r="H15" s="20">
        <f>SUM(B15:G15)</f>
        <v>175000</v>
      </c>
      <c r="I15" s="68">
        <v>11</v>
      </c>
      <c r="M15" s="33"/>
    </row>
    <row r="16" spans="1:13" ht="14.05" customHeight="1" thickBot="1" x14ac:dyDescent="0.6">
      <c r="A16" s="21" t="s">
        <v>92</v>
      </c>
      <c r="B16" s="17"/>
      <c r="C16" s="17"/>
      <c r="D16" s="17"/>
      <c r="E16" s="17"/>
      <c r="F16" s="17"/>
      <c r="G16" s="17"/>
      <c r="H16" s="25">
        <f>SUM(H5:H15)*1/9</f>
        <v>1860063.457042228</v>
      </c>
      <c r="I16" s="68">
        <v>12</v>
      </c>
    </row>
    <row r="17" spans="1:8" ht="14.05" customHeight="1" thickTop="1" thickBot="1" x14ac:dyDescent="0.6">
      <c r="A17" s="26" t="s">
        <v>114</v>
      </c>
      <c r="B17" s="27">
        <f t="shared" ref="B17:G17" si="1">SUM(B5:B15)</f>
        <v>327400</v>
      </c>
      <c r="C17" s="27">
        <f t="shared" si="1"/>
        <v>283220</v>
      </c>
      <c r="D17" s="27">
        <f t="shared" si="1"/>
        <v>5396198.2400000002</v>
      </c>
      <c r="E17" s="27">
        <f t="shared" si="1"/>
        <v>7997600.7133800536</v>
      </c>
      <c r="F17" s="27">
        <f t="shared" si="1"/>
        <v>2504772.16</v>
      </c>
      <c r="G17" s="27">
        <f t="shared" si="1"/>
        <v>231380</v>
      </c>
      <c r="H17" s="27">
        <f>SUM(H5:H16)</f>
        <v>18600634.570422281</v>
      </c>
    </row>
    <row r="18" spans="1:8" ht="14.05" customHeight="1" thickBot="1" x14ac:dyDescent="0.6">
      <c r="A18" s="28"/>
      <c r="B18" s="29"/>
      <c r="C18" s="29"/>
      <c r="D18" s="29"/>
      <c r="E18" s="29"/>
      <c r="F18" s="29"/>
      <c r="G18" s="30"/>
      <c r="H18" s="29"/>
    </row>
    <row r="19" spans="1:8" ht="21" customHeight="1" thickTop="1" thickBot="1" x14ac:dyDescent="0.6">
      <c r="A19" s="16" t="s">
        <v>188</v>
      </c>
      <c r="B19" s="31">
        <f>SUMIFS('Detailed Budget'!AB8:'Detailed Budget'!AB172,'Detailed Budget'!Z8:'Detailed Budget'!Z172,$A$1)/'Detailed Budget'!$K$6/48/'Detailed Budget'!$I$4+SUMIFS('Detailed Budget'!AB175:'Detailed Budget'!AB260,'Detailed Budget'!Z175:'Detailed Budget'!Z260,$A$1,'Detailed Budget'!AN175:'Detailed Budget'!AN260,$I12)/'Detailed Budget'!$K$6/48/'Detailed Budget'!I5+'Option 2'!B19</f>
        <v>3</v>
      </c>
      <c r="C19" s="31">
        <f>SUMIFS('Detailed Budget'!AD8:'Detailed Budget'!AD172,'Detailed Budget'!Z8:'Detailed Budget'!Z172,$A$1)/'Detailed Budget'!$K$6/48/'Detailed Budget'!$I$4+SUMIFS('Detailed Budget'!AD175:'Detailed Budget'!AD260,'Detailed Budget'!Z175:'Detailed Budget'!Z260,$A$1,'Detailed Budget'!AN175:'Detailed Budget'!AN260,$I12)/'Detailed Budget'!$K$6/48/'Detailed Budget'!I5+'Option 2'!C19</f>
        <v>2.25</v>
      </c>
      <c r="D19" s="31">
        <f>SUMIFS('Detailed Budget'!AF8:'Detailed Budget'!AF172,'Detailed Budget'!Z8:'Detailed Budget'!Z172,$A$1)/'Detailed Budget'!$K$6/48/'Detailed Budget'!$I$4+SUMIFS('Detailed Budget'!AF175:'Detailed Budget'!AF260,'Detailed Budget'!Z175:'Detailed Budget'!Z260,$A$1,'Detailed Budget'!AN175:'Detailed Budget'!AN260,$I12)/'Detailed Budget'!$K$6/48/'Detailed Budget'!I5+'Option 2'!D19</f>
        <v>9.7938437499999988</v>
      </c>
      <c r="E19" s="31">
        <f>SUMIFS('Detailed Budget'!AH8:'Detailed Budget'!AH172,'Detailed Budget'!Z8:'Detailed Budget'!Z172,$A$1)/'Detailed Budget'!$K$6/48/'Detailed Budget'!$I$4++SUMIFS('Detailed Budget'!AH175:'Detailed Budget'!AH260,'Detailed Budget'!Z175:'Detailed Budget'!Z260,$A$1,'Detailed Budget'!AN175:'Detailed Budget'!AN260,$I12)/'Detailed Budget'!$K$6/48/'Detailed Budget'!I5+'Option 2'!E19</f>
        <v>9.9493229166666666</v>
      </c>
      <c r="F19" s="31">
        <f>SUMIFS('Detailed Budget'!AJ8:'Detailed Budget'!AJ172,'Detailed Budget'!Z8:'Detailed Budget'!Z172,$A$1)/'Detailed Budget'!$K$6/48/'Detailed Budget'!$I$4+SUMIFS('Detailed Budget'!AJ175:'Detailed Budget'!AJ260,'Detailed Budget'!Z175:'Detailed Budget'!Z260,$A$1,'Detailed Budget'!AN175:'Detailed Budget'!AN260,$I12)/'Detailed Budget'!$K$6/48/'Detailed Budget'!I5+'Option 2'!F19</f>
        <v>4.9977708333333339</v>
      </c>
      <c r="G19" s="31">
        <f>SUMIFS('Detailed Budget'!AL8:'Detailed Budget'!AL172,'Detailed Budget'!Z8:'Detailed Budget'!Z172,$A$1)/'Detailed Budget'!$K$6/48/'Detailed Budget'!$I$4+SUMIFS('Detailed Budget'!AL175:'Detailed Budget'!AL260,'Detailed Budget'!Z175:'Detailed Budget'!Z260,$A$1,'Detailed Budget'!AN175:'Detailed Budget'!AN260,$I12)/'Detailed Budget'!$K$6/48/'Detailed Budget'!I5+'Option 2'!G19</f>
        <v>1.8125</v>
      </c>
      <c r="H19" s="31">
        <f>SUM(B19:G19)</f>
        <v>31.803437500000001</v>
      </c>
    </row>
  </sheetData>
  <mergeCells count="8"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topLeftCell="A25" workbookViewId="0">
      <selection activeCell="H11" sqref="H11"/>
    </sheetView>
  </sheetViews>
  <sheetFormatPr defaultRowHeight="14.4" x14ac:dyDescent="0.55000000000000004"/>
  <cols>
    <col min="1" max="1" width="18.734375" customWidth="1"/>
    <col min="2" max="4" width="9.83984375" bestFit="1" customWidth="1"/>
    <col min="5" max="5" width="16.68359375" customWidth="1"/>
    <col min="6" max="10" width="9.83984375" bestFit="1" customWidth="1"/>
    <col min="11" max="11" width="4.1015625" customWidth="1"/>
    <col min="12" max="12" width="10.15625" customWidth="1"/>
  </cols>
  <sheetData>
    <row r="2" spans="1:11" x14ac:dyDescent="0.55000000000000004">
      <c r="A2" s="99" t="s">
        <v>275</v>
      </c>
      <c r="E2" s="99" t="s">
        <v>281</v>
      </c>
      <c r="I2" s="99" t="s">
        <v>282</v>
      </c>
    </row>
    <row r="3" spans="1:11" ht="15.6" thickBot="1" x14ac:dyDescent="0.6">
      <c r="A3" s="99" t="s">
        <v>279</v>
      </c>
      <c r="E3" s="99" t="s">
        <v>280</v>
      </c>
      <c r="I3" s="86" t="s">
        <v>263</v>
      </c>
      <c r="J3" s="87"/>
    </row>
    <row r="4" spans="1:11" x14ac:dyDescent="0.55000000000000004">
      <c r="A4" t="s">
        <v>276</v>
      </c>
      <c r="B4" s="85">
        <v>1.55</v>
      </c>
      <c r="C4" t="s">
        <v>277</v>
      </c>
      <c r="E4" t="str">
        <f>M22</f>
        <v>SANS Cave</v>
      </c>
      <c r="F4" s="85">
        <f>N22/1000000</f>
        <v>0.26045400000000002</v>
      </c>
      <c r="G4" t="s">
        <v>277</v>
      </c>
      <c r="I4" s="100" t="s">
        <v>247</v>
      </c>
      <c r="J4" s="101">
        <v>0.31</v>
      </c>
      <c r="K4" t="s">
        <v>277</v>
      </c>
    </row>
    <row r="5" spans="1:11" x14ac:dyDescent="0.55000000000000004">
      <c r="A5" t="s">
        <v>17</v>
      </c>
      <c r="B5" s="85">
        <v>0.25</v>
      </c>
      <c r="C5" t="s">
        <v>277</v>
      </c>
      <c r="E5" t="str">
        <f>M23</f>
        <v>SANS Tank</v>
      </c>
      <c r="F5" s="85">
        <f>N23/1000000</f>
        <v>0.8</v>
      </c>
      <c r="G5" t="s">
        <v>277</v>
      </c>
      <c r="I5" s="100" t="s">
        <v>264</v>
      </c>
      <c r="J5" s="101">
        <v>0.15</v>
      </c>
      <c r="K5" t="s">
        <v>277</v>
      </c>
    </row>
    <row r="6" spans="1:11" x14ac:dyDescent="0.55000000000000004">
      <c r="A6" t="s">
        <v>80</v>
      </c>
      <c r="B6">
        <v>0.25</v>
      </c>
      <c r="C6" t="s">
        <v>277</v>
      </c>
      <c r="E6" t="str">
        <f>M24</f>
        <v>SANS Detector</v>
      </c>
      <c r="F6" s="85">
        <f>N24/1000000</f>
        <v>0.5</v>
      </c>
      <c r="G6" t="s">
        <v>277</v>
      </c>
      <c r="I6" s="100" t="s">
        <v>17</v>
      </c>
      <c r="J6" s="101">
        <v>0.05</v>
      </c>
      <c r="K6" t="s">
        <v>277</v>
      </c>
    </row>
    <row r="7" spans="1:11" ht="14.7" thickBot="1" x14ac:dyDescent="0.6">
      <c r="A7" t="s">
        <v>17</v>
      </c>
      <c r="B7">
        <v>0.05</v>
      </c>
      <c r="C7" t="s">
        <v>277</v>
      </c>
      <c r="E7" t="str">
        <f>M25</f>
        <v>Cold chopper</v>
      </c>
      <c r="F7" s="85">
        <f>N25/1000000</f>
        <v>0.31</v>
      </c>
      <c r="G7" t="s">
        <v>277</v>
      </c>
      <c r="I7" s="102" t="s">
        <v>257</v>
      </c>
      <c r="J7" s="103">
        <f>SUM(J4:J6)*1/9</f>
        <v>5.6666666666666671E-2</v>
      </c>
      <c r="K7" t="s">
        <v>277</v>
      </c>
    </row>
    <row r="8" spans="1:11" ht="14.7" thickBot="1" x14ac:dyDescent="0.6">
      <c r="A8" t="s">
        <v>278</v>
      </c>
      <c r="B8">
        <v>0.06</v>
      </c>
      <c r="C8" t="s">
        <v>277</v>
      </c>
      <c r="E8" t="str">
        <f>M26</f>
        <v>False floor</v>
      </c>
      <c r="F8" s="85">
        <f>N26/1000000</f>
        <v>0.09</v>
      </c>
      <c r="G8" t="s">
        <v>277</v>
      </c>
      <c r="I8" s="102" t="s">
        <v>283</v>
      </c>
      <c r="J8" s="103">
        <f>SUM(J4:J7)</f>
        <v>0.56666666666666665</v>
      </c>
      <c r="K8" t="s">
        <v>277</v>
      </c>
    </row>
    <row r="9" spans="1:11" x14ac:dyDescent="0.55000000000000004">
      <c r="A9" t="s">
        <v>257</v>
      </c>
      <c r="B9" s="85">
        <f>SUM(B4:B8)*1/9</f>
        <v>0.23999999999999996</v>
      </c>
      <c r="C9" t="s">
        <v>277</v>
      </c>
      <c r="E9" t="str">
        <f>M27</f>
        <v>PSS</v>
      </c>
      <c r="F9" s="85">
        <f>N27/1000000</f>
        <v>0.05</v>
      </c>
      <c r="G9" t="s">
        <v>277</v>
      </c>
    </row>
    <row r="10" spans="1:11" x14ac:dyDescent="0.55000000000000004">
      <c r="A10" t="s">
        <v>262</v>
      </c>
      <c r="B10" s="85">
        <f>SUM(B4:B9)</f>
        <v>2.3999999999999995</v>
      </c>
      <c r="C10" t="s">
        <v>277</v>
      </c>
      <c r="E10" t="str">
        <f>M28</f>
        <v>Manpower</v>
      </c>
      <c r="F10" s="85">
        <f>N28/1000000</f>
        <v>0.26083200000000001</v>
      </c>
      <c r="G10" t="s">
        <v>277</v>
      </c>
    </row>
    <row r="11" spans="1:11" x14ac:dyDescent="0.55000000000000004">
      <c r="E11" t="s">
        <v>257</v>
      </c>
      <c r="F11" s="85">
        <f>SUM(F4:F10)*1/9</f>
        <v>0.25236511111111115</v>
      </c>
      <c r="G11" t="s">
        <v>277</v>
      </c>
    </row>
    <row r="12" spans="1:11" x14ac:dyDescent="0.55000000000000004">
      <c r="E12" t="s">
        <v>262</v>
      </c>
      <c r="F12" s="85">
        <f>SUM(F4:F11)</f>
        <v>2.5236511111111115</v>
      </c>
      <c r="G12" t="s">
        <v>277</v>
      </c>
    </row>
    <row r="21" spans="1:14" ht="14.7" thickBot="1" x14ac:dyDescent="0.6">
      <c r="A21" t="s">
        <v>245</v>
      </c>
      <c r="J21" t="s">
        <v>274</v>
      </c>
    </row>
    <row r="22" spans="1:14" x14ac:dyDescent="0.55000000000000004">
      <c r="A22" t="str">
        <f>'Detailed Budget'!H58</f>
        <v>6.75m</v>
      </c>
      <c r="B22" t="str">
        <f>'Detailed Budget'!I58</f>
        <v>Low speed chopper</v>
      </c>
      <c r="C22">
        <f>'Detailed Budget'!J58</f>
        <v>110000</v>
      </c>
      <c r="F22" t="s">
        <v>247</v>
      </c>
      <c r="G22">
        <f>SUM(C22:C25)</f>
        <v>310000</v>
      </c>
      <c r="J22" s="79" t="s">
        <v>250</v>
      </c>
      <c r="K22" s="80" t="s">
        <v>251</v>
      </c>
      <c r="M22" t="s">
        <v>250</v>
      </c>
      <c r="N22">
        <f>G27</f>
        <v>260454</v>
      </c>
    </row>
    <row r="23" spans="1:14" x14ac:dyDescent="0.55000000000000004">
      <c r="A23" t="str">
        <f>'Detailed Budget'!H59</f>
        <v>18m</v>
      </c>
      <c r="B23" t="str">
        <f>'Detailed Budget'!I59</f>
        <v>Low speed chopper</v>
      </c>
      <c r="C23">
        <f>'Detailed Budget'!J59</f>
        <v>110000</v>
      </c>
      <c r="E23">
        <f>36*1.5</f>
        <v>54</v>
      </c>
      <c r="F23" t="s">
        <v>17</v>
      </c>
      <c r="G23">
        <f>D26*1.5</f>
        <v>103680</v>
      </c>
      <c r="J23" s="81" t="s">
        <v>247</v>
      </c>
      <c r="K23" s="82" t="s">
        <v>252</v>
      </c>
      <c r="M23" t="s">
        <v>261</v>
      </c>
      <c r="N23">
        <f>G24</f>
        <v>800000</v>
      </c>
    </row>
    <row r="24" spans="1:14" x14ac:dyDescent="0.55000000000000004">
      <c r="A24">
        <f>'Detailed Budget'!H60</f>
        <v>0</v>
      </c>
      <c r="B24" t="str">
        <f>'Detailed Budget'!I60</f>
        <v>Chopper mount</v>
      </c>
      <c r="C24">
        <f>'Detailed Budget'!J60</f>
        <v>50000</v>
      </c>
      <c r="F24" t="s">
        <v>248</v>
      </c>
      <c r="G24">
        <v>800000</v>
      </c>
      <c r="J24" s="81" t="s">
        <v>95</v>
      </c>
      <c r="K24" s="82" t="s">
        <v>251</v>
      </c>
      <c r="M24" t="s">
        <v>149</v>
      </c>
      <c r="N24">
        <v>500000</v>
      </c>
    </row>
    <row r="25" spans="1:14" x14ac:dyDescent="0.55000000000000004">
      <c r="A25">
        <f>'Detailed Budget'!H61</f>
        <v>0</v>
      </c>
      <c r="B25" t="str">
        <f>'Detailed Budget'!I61</f>
        <v>Materials</v>
      </c>
      <c r="C25">
        <f>'Detailed Budget'!J61</f>
        <v>40000</v>
      </c>
      <c r="F25" t="s">
        <v>93</v>
      </c>
      <c r="G25">
        <v>90000</v>
      </c>
      <c r="J25" s="81" t="s">
        <v>17</v>
      </c>
      <c r="K25" s="82" t="s">
        <v>253</v>
      </c>
      <c r="M25" t="s">
        <v>43</v>
      </c>
      <c r="N25">
        <f>G22</f>
        <v>310000</v>
      </c>
    </row>
    <row r="26" spans="1:14" x14ac:dyDescent="0.55000000000000004">
      <c r="A26">
        <f>'Detailed Budget'!H62</f>
        <v>36</v>
      </c>
      <c r="B26" t="str">
        <f>'Detailed Budget'!I62</f>
        <v>Manpower</v>
      </c>
      <c r="D26">
        <f>'Detailed Budget'!K62</f>
        <v>69120</v>
      </c>
      <c r="F26" t="s">
        <v>17</v>
      </c>
      <c r="G26">
        <f>D31*2</f>
        <v>46080</v>
      </c>
      <c r="J26" s="81" t="s">
        <v>52</v>
      </c>
      <c r="K26" s="82" t="s">
        <v>254</v>
      </c>
      <c r="M26" t="s">
        <v>93</v>
      </c>
      <c r="N26">
        <v>90000</v>
      </c>
    </row>
    <row r="27" spans="1:14" x14ac:dyDescent="0.55000000000000004">
      <c r="F27" t="s">
        <v>47</v>
      </c>
      <c r="G27">
        <f>C34</f>
        <v>260454</v>
      </c>
      <c r="J27" s="81" t="s">
        <v>145</v>
      </c>
      <c r="K27" s="82" t="s">
        <v>255</v>
      </c>
      <c r="M27" t="s">
        <v>145</v>
      </c>
      <c r="N27">
        <v>50000</v>
      </c>
    </row>
    <row r="28" spans="1:14" ht="14.7" x14ac:dyDescent="0.55000000000000004">
      <c r="A28" t="s">
        <v>244</v>
      </c>
      <c r="F28" t="s">
        <v>17</v>
      </c>
      <c r="G28">
        <f>D35*2</f>
        <v>46272</v>
      </c>
      <c r="J28" s="81" t="s">
        <v>256</v>
      </c>
      <c r="K28" s="82" t="s">
        <v>253</v>
      </c>
      <c r="M28" t="s">
        <v>17</v>
      </c>
      <c r="N28">
        <f>G23+G26+G28+G31</f>
        <v>260832</v>
      </c>
    </row>
    <row r="29" spans="1:14" ht="14.7" thickBot="1" x14ac:dyDescent="0.6">
      <c r="A29" t="str">
        <f>'Detailed Budget'!H122</f>
        <v>160-170m</v>
      </c>
      <c r="B29" t="str">
        <f>'Detailed Budget'!I122</f>
        <v>SANS tank</v>
      </c>
      <c r="C29">
        <f>'Detailed Budget'!J122</f>
        <v>800000</v>
      </c>
      <c r="F29" t="s">
        <v>145</v>
      </c>
      <c r="G29">
        <v>50000</v>
      </c>
      <c r="J29" s="83" t="s">
        <v>257</v>
      </c>
      <c r="K29" s="84" t="s">
        <v>258</v>
      </c>
    </row>
    <row r="30" spans="1:14" ht="14.7" thickBot="1" x14ac:dyDescent="0.6">
      <c r="A30">
        <f>'Detailed Budget'!H123</f>
        <v>0</v>
      </c>
      <c r="B30" t="str">
        <f>'Detailed Budget'!I123</f>
        <v>False floor</v>
      </c>
      <c r="C30">
        <f>'Detailed Budget'!J123</f>
        <v>90000</v>
      </c>
      <c r="F30" t="s">
        <v>249</v>
      </c>
      <c r="G30">
        <f>C41</f>
        <v>500000</v>
      </c>
      <c r="J30" s="83" t="s">
        <v>259</v>
      </c>
      <c r="K30" s="84" t="s">
        <v>260</v>
      </c>
    </row>
    <row r="31" spans="1:14" x14ac:dyDescent="0.55000000000000004">
      <c r="A31">
        <f>'Detailed Budget'!H124</f>
        <v>12</v>
      </c>
      <c r="B31" t="str">
        <f>'Detailed Budget'!I124</f>
        <v>Manpower</v>
      </c>
      <c r="D31">
        <f>'Detailed Budget'!K124</f>
        <v>23040</v>
      </c>
      <c r="F31" t="s">
        <v>17</v>
      </c>
      <c r="G31">
        <f>D42*1.5</f>
        <v>64800</v>
      </c>
    </row>
    <row r="33" spans="1:14" x14ac:dyDescent="0.55000000000000004">
      <c r="A33" t="s">
        <v>246</v>
      </c>
    </row>
    <row r="34" spans="1:14" x14ac:dyDescent="0.55000000000000004">
      <c r="A34" t="str">
        <f>'Detailed Budget'!H107</f>
        <v>10 m</v>
      </c>
      <c r="B34" t="str">
        <f>'Detailed Budget'!I107</f>
        <v>Shielding SANS</v>
      </c>
      <c r="C34">
        <f>'Detailed Budget'!J107</f>
        <v>260454</v>
      </c>
    </row>
    <row r="35" spans="1:14" x14ac:dyDescent="0.55000000000000004">
      <c r="A35">
        <f>'Detailed Budget'!H108</f>
        <v>12.05</v>
      </c>
      <c r="B35" t="str">
        <f>'Detailed Budget'!I108</f>
        <v>Manpower</v>
      </c>
      <c r="D35">
        <f>'Detailed Budget'!K108</f>
        <v>23136</v>
      </c>
    </row>
    <row r="37" spans="1:14" x14ac:dyDescent="0.55000000000000004">
      <c r="A37" t="s">
        <v>189</v>
      </c>
    </row>
    <row r="38" spans="1:14" x14ac:dyDescent="0.55000000000000004">
      <c r="A38">
        <f>'Detailed Budget'!H112</f>
        <v>0</v>
      </c>
      <c r="B38" t="str">
        <f>'Detailed Budget'!I112</f>
        <v>SANS PSS</v>
      </c>
      <c r="C38">
        <f>'Detailed Budget'!J112</f>
        <v>50000</v>
      </c>
    </row>
    <row r="40" spans="1:14" x14ac:dyDescent="0.55000000000000004">
      <c r="A40" t="s">
        <v>149</v>
      </c>
    </row>
    <row r="41" spans="1:14" x14ac:dyDescent="0.55000000000000004">
      <c r="A41" t="str">
        <f>'Detailed Budget'!H148</f>
        <v>170m</v>
      </c>
      <c r="B41" t="str">
        <f>'Detailed Budget'!I148</f>
        <v>SANS Detector A</v>
      </c>
      <c r="C41">
        <f>'Detailed Budget'!J148</f>
        <v>500000</v>
      </c>
    </row>
    <row r="42" spans="1:14" ht="15.6" thickBot="1" x14ac:dyDescent="0.6">
      <c r="A42">
        <f>'Detailed Budget'!H149</f>
        <v>0</v>
      </c>
      <c r="B42" t="str">
        <f>'Detailed Budget'!I149</f>
        <v>Manpower</v>
      </c>
      <c r="D42">
        <f>'Detailed Budget'!K149</f>
        <v>43200</v>
      </c>
      <c r="J42" s="86" t="s">
        <v>263</v>
      </c>
      <c r="K42" s="87"/>
    </row>
    <row r="43" spans="1:14" x14ac:dyDescent="0.55000000000000004">
      <c r="J43" s="81" t="s">
        <v>247</v>
      </c>
      <c r="K43" s="82">
        <f>N25</f>
        <v>310000</v>
      </c>
      <c r="M43" t="str">
        <f>J43</f>
        <v>Choppers</v>
      </c>
      <c r="N43" s="85">
        <f>K43/1000000</f>
        <v>0.31</v>
      </c>
    </row>
    <row r="44" spans="1:14" x14ac:dyDescent="0.55000000000000004">
      <c r="J44" s="81" t="s">
        <v>264</v>
      </c>
      <c r="K44" s="82">
        <v>143000</v>
      </c>
      <c r="M44" t="str">
        <f t="shared" ref="M44:M47" si="0">J44</f>
        <v>Detector (Timepix)</v>
      </c>
      <c r="N44" s="85">
        <f t="shared" ref="N44:N47" si="1">K44/1000000</f>
        <v>0.14299999999999999</v>
      </c>
    </row>
    <row r="45" spans="1:14" x14ac:dyDescent="0.55000000000000004">
      <c r="J45" s="81" t="s">
        <v>17</v>
      </c>
      <c r="K45" s="82">
        <f>'Detailed Budget'!K155*4</f>
        <v>46080</v>
      </c>
      <c r="M45" t="str">
        <f t="shared" si="0"/>
        <v>Manpower</v>
      </c>
      <c r="N45" s="85">
        <f t="shared" si="1"/>
        <v>4.6080000000000003E-2</v>
      </c>
    </row>
    <row r="46" spans="1:14" x14ac:dyDescent="0.55000000000000004">
      <c r="J46" s="81" t="s">
        <v>257</v>
      </c>
      <c r="K46">
        <f>SUM(K43:K45)*0.1</f>
        <v>49908</v>
      </c>
      <c r="M46" t="str">
        <f t="shared" si="0"/>
        <v>Contingency</v>
      </c>
      <c r="N46" s="85">
        <f t="shared" si="1"/>
        <v>4.9908000000000001E-2</v>
      </c>
    </row>
    <row r="47" spans="1:14" ht="14.7" thickBot="1" x14ac:dyDescent="0.6">
      <c r="J47" s="83" t="s">
        <v>114</v>
      </c>
      <c r="K47" s="84">
        <f>SUM(K43:K46)</f>
        <v>548988</v>
      </c>
      <c r="M47" t="str">
        <f t="shared" si="0"/>
        <v>Total</v>
      </c>
      <c r="N47" s="85">
        <f t="shared" si="1"/>
        <v>0.54898800000000003</v>
      </c>
    </row>
    <row r="48" spans="1:14" ht="14.7" thickBot="1" x14ac:dyDescent="0.6">
      <c r="J48" s="83"/>
      <c r="K48" s="84"/>
    </row>
    <row r="50" spans="1:13" x14ac:dyDescent="0.55000000000000004">
      <c r="A50" t="s">
        <v>265</v>
      </c>
    </row>
    <row r="52" spans="1:13" x14ac:dyDescent="0.55000000000000004">
      <c r="A52" t="s">
        <v>168</v>
      </c>
      <c r="B52" t="s">
        <v>269</v>
      </c>
      <c r="C52" t="s">
        <v>169</v>
      </c>
      <c r="E52" t="s">
        <v>170</v>
      </c>
      <c r="G52" t="s">
        <v>266</v>
      </c>
      <c r="I52" t="s">
        <v>172</v>
      </c>
      <c r="K52" t="s">
        <v>173</v>
      </c>
      <c r="M52" t="s">
        <v>267</v>
      </c>
    </row>
    <row r="53" spans="1:13" x14ac:dyDescent="0.55000000000000004">
      <c r="A53" t="s">
        <v>268</v>
      </c>
      <c r="B53" s="88">
        <v>42886</v>
      </c>
      <c r="C53" s="88">
        <v>42887</v>
      </c>
      <c r="D53" s="88">
        <v>43251</v>
      </c>
      <c r="E53" s="88">
        <v>43252</v>
      </c>
      <c r="F53" s="88">
        <v>44196</v>
      </c>
      <c r="G53" s="88">
        <v>44197</v>
      </c>
      <c r="H53" s="88">
        <v>45138</v>
      </c>
      <c r="I53" s="88">
        <v>45139</v>
      </c>
      <c r="J53" s="88">
        <v>45504</v>
      </c>
      <c r="K53" s="88">
        <v>45505</v>
      </c>
      <c r="L53" s="88">
        <v>45777</v>
      </c>
    </row>
    <row r="54" spans="1:13" x14ac:dyDescent="0.55000000000000004">
      <c r="B54" t="s">
        <v>270</v>
      </c>
      <c r="D54" t="s">
        <v>270</v>
      </c>
    </row>
    <row r="55" spans="1:13" x14ac:dyDescent="0.55000000000000004">
      <c r="E55">
        <v>2.6</v>
      </c>
      <c r="G55">
        <v>2.7</v>
      </c>
      <c r="I55">
        <v>1</v>
      </c>
      <c r="L55">
        <f>12*0.75</f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Detailed Budget</vt:lpstr>
      <vt:lpstr>Option 1</vt:lpstr>
      <vt:lpstr>Option 2</vt:lpstr>
      <vt:lpstr>Option 3</vt:lpstr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Christensen</dc:creator>
  <cp:lastModifiedBy>Mogens Christensen</cp:lastModifiedBy>
  <cp:lastPrinted>2016-10-19T14:25:29Z</cp:lastPrinted>
  <dcterms:created xsi:type="dcterms:W3CDTF">2016-10-10T08:23:49Z</dcterms:created>
  <dcterms:modified xsi:type="dcterms:W3CDTF">2016-10-19T15:20:01Z</dcterms:modified>
</cp:coreProperties>
</file>