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roun\DOC\ESS\phase1\optics\"/>
    </mc:Choice>
  </mc:AlternateContent>
  <bookViews>
    <workbookView xWindow="0" yWindow="0" windowWidth="17520" windowHeight="7335"/>
  </bookViews>
  <sheets>
    <sheet name="primary" sheetId="1" r:id="rId1"/>
    <sheet name="coord" sheetId="7" r:id="rId2"/>
    <sheet name="beam axi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99" i="1" l="1"/>
  <c r="K98" i="1"/>
  <c r="F98" i="1"/>
  <c r="E98" i="1"/>
  <c r="K97" i="1"/>
  <c r="K96" i="1"/>
  <c r="K95" i="1"/>
  <c r="K94" i="1"/>
  <c r="K93" i="1"/>
  <c r="K92" i="1"/>
  <c r="D92" i="1"/>
  <c r="K91" i="1"/>
  <c r="K90" i="1"/>
  <c r="K89" i="1"/>
  <c r="D89" i="1"/>
  <c r="K88" i="1"/>
  <c r="K87" i="1"/>
  <c r="K86" i="1"/>
  <c r="K85" i="1"/>
  <c r="K84" i="1"/>
  <c r="K83" i="1"/>
  <c r="K82" i="1"/>
  <c r="K81" i="1"/>
  <c r="K80" i="1"/>
  <c r="D80" i="1"/>
  <c r="K79" i="1"/>
  <c r="D79" i="1"/>
  <c r="A79" i="1" s="1"/>
  <c r="K78" i="1"/>
  <c r="G78" i="1"/>
  <c r="K77" i="1"/>
  <c r="E77" i="1"/>
  <c r="D77" i="1"/>
  <c r="G77" i="1" s="1"/>
  <c r="K76" i="1"/>
  <c r="E76" i="1"/>
  <c r="E79" i="1" s="1"/>
  <c r="E80" i="1" s="1"/>
  <c r="E82" i="1" s="1"/>
  <c r="E83" i="1" s="1"/>
  <c r="E84" i="1" s="1"/>
  <c r="E85" i="1" s="1"/>
  <c r="E87" i="1" s="1"/>
  <c r="E88" i="1" s="1"/>
  <c r="D76" i="1"/>
  <c r="K75" i="1"/>
  <c r="D75" i="1"/>
  <c r="E75" i="1" s="1"/>
  <c r="K74" i="1"/>
  <c r="K73" i="1"/>
  <c r="K72" i="1"/>
  <c r="K70" i="1"/>
  <c r="D70" i="1"/>
  <c r="K69" i="1"/>
  <c r="D69" i="1"/>
  <c r="K67" i="1"/>
  <c r="K66" i="1"/>
  <c r="K65" i="1"/>
  <c r="K64" i="1"/>
  <c r="D64" i="1"/>
  <c r="D66" i="1" s="1"/>
  <c r="K63" i="1"/>
  <c r="D63" i="1"/>
  <c r="K62" i="1"/>
  <c r="D62" i="1"/>
  <c r="K61" i="1"/>
  <c r="F61" i="1"/>
  <c r="F66" i="1" s="1"/>
  <c r="F67" i="1" s="1"/>
  <c r="F69" i="1" s="1"/>
  <c r="F70" i="1" s="1"/>
  <c r="K60" i="1"/>
  <c r="K59" i="1"/>
  <c r="D59" i="1"/>
  <c r="A59" i="1" s="1"/>
  <c r="K58" i="1"/>
  <c r="K57" i="1"/>
  <c r="G57" i="1"/>
  <c r="K56" i="1"/>
  <c r="D56" i="1"/>
  <c r="A56" i="1"/>
  <c r="K55" i="1"/>
  <c r="G55" i="1"/>
  <c r="K54" i="1"/>
  <c r="K53" i="1"/>
  <c r="K52" i="1"/>
  <c r="D52" i="1"/>
  <c r="K51" i="1"/>
  <c r="D51" i="1"/>
  <c r="K50" i="1"/>
  <c r="K49" i="1"/>
  <c r="A49" i="1"/>
  <c r="K48" i="1"/>
  <c r="A48" i="1"/>
  <c r="K47" i="1"/>
  <c r="K46" i="1"/>
  <c r="D46" i="1"/>
  <c r="G46" i="1" s="1"/>
  <c r="K45" i="1"/>
  <c r="D45" i="1"/>
  <c r="A45" i="1" s="1"/>
  <c r="K44" i="1"/>
  <c r="G44" i="1"/>
  <c r="K43" i="1"/>
  <c r="A43" i="1"/>
  <c r="K42" i="1"/>
  <c r="A42" i="1"/>
  <c r="K41" i="1"/>
  <c r="K40" i="1"/>
  <c r="G40" i="1"/>
  <c r="D40" i="1"/>
  <c r="G41" i="1" s="1"/>
  <c r="K39" i="1"/>
  <c r="D39" i="1"/>
  <c r="G38" i="1" s="1"/>
  <c r="A39" i="1"/>
  <c r="K38" i="1"/>
  <c r="K37" i="1"/>
  <c r="K36" i="1"/>
  <c r="G36" i="1"/>
  <c r="K35" i="1"/>
  <c r="D35" i="1"/>
  <c r="G35" i="1" s="1"/>
  <c r="K34" i="1"/>
  <c r="D34" i="1"/>
  <c r="A37" i="1" s="1"/>
  <c r="K33" i="1"/>
  <c r="G33" i="1"/>
  <c r="K32" i="1"/>
  <c r="A32" i="1"/>
  <c r="K31" i="1"/>
  <c r="E31" i="1"/>
  <c r="E32" i="1" s="1"/>
  <c r="E34" i="1" s="1"/>
  <c r="E35" i="1" s="1"/>
  <c r="E37" i="1" s="1"/>
  <c r="E39" i="1" s="1"/>
  <c r="E40" i="1" s="1"/>
  <c r="E42" i="1" s="1"/>
  <c r="E43" i="1" s="1"/>
  <c r="E45" i="1" s="1"/>
  <c r="E46" i="1" s="1"/>
  <c r="E48" i="1" s="1"/>
  <c r="E49" i="1" s="1"/>
  <c r="E51" i="1" s="1"/>
  <c r="E52" i="1" s="1"/>
  <c r="E54" i="1" s="1"/>
  <c r="E56" i="1" s="1"/>
  <c r="E57" i="1" s="1"/>
  <c r="E59" i="1" s="1"/>
  <c r="E60" i="1" s="1"/>
  <c r="E61" i="1" s="1"/>
  <c r="A31" i="1"/>
  <c r="K30" i="1"/>
  <c r="K29" i="1"/>
  <c r="G29" i="1"/>
  <c r="E29" i="1"/>
  <c r="D29" i="1"/>
  <c r="G30" i="1" s="1"/>
  <c r="K28" i="1"/>
  <c r="K27" i="1"/>
  <c r="K26" i="1"/>
  <c r="I13" i="1" s="1"/>
  <c r="K25" i="1"/>
  <c r="D25" i="1"/>
  <c r="K24" i="1"/>
  <c r="D24" i="1"/>
  <c r="E24" i="1" s="1"/>
  <c r="K23" i="1"/>
  <c r="K22" i="1"/>
  <c r="F22" i="1"/>
  <c r="D22" i="1"/>
  <c r="K21" i="1"/>
  <c r="K20" i="1"/>
  <c r="G20" i="1"/>
  <c r="K19" i="1"/>
  <c r="D19" i="1"/>
  <c r="D20" i="1" s="1"/>
  <c r="D21" i="1" s="1"/>
  <c r="K18" i="1"/>
  <c r="K17" i="1"/>
  <c r="F17" i="1"/>
  <c r="D17" i="1"/>
  <c r="A17" i="1" s="1"/>
  <c r="O7" i="1"/>
  <c r="N7" i="1"/>
  <c r="D84" i="1" s="1"/>
  <c r="O6" i="1"/>
  <c r="O5" i="1"/>
  <c r="N5" i="1"/>
  <c r="F56" i="1" s="1"/>
  <c r="M5" i="1"/>
  <c r="E92" i="1" l="1"/>
  <c r="E93" i="1" s="1"/>
  <c r="E94" i="1" s="1"/>
  <c r="E95" i="1" s="1"/>
  <c r="E96" i="1" s="1"/>
  <c r="E89" i="1"/>
  <c r="E66" i="1"/>
  <c r="E67" i="1" s="1"/>
  <c r="E69" i="1" s="1"/>
  <c r="E70" i="1" s="1"/>
  <c r="E62" i="1"/>
  <c r="E63" i="1" s="1"/>
  <c r="E64" i="1" s="1"/>
  <c r="E72" i="1" s="1"/>
  <c r="E73" i="1" s="1"/>
  <c r="G52" i="1"/>
  <c r="G53" i="1"/>
  <c r="D60" i="1"/>
  <c r="G60" i="1" s="1"/>
  <c r="G70" i="1"/>
  <c r="D72" i="1"/>
  <c r="F84" i="1"/>
  <c r="D83" i="1"/>
  <c r="F19" i="1"/>
  <c r="F21" i="1"/>
  <c r="G25" i="1"/>
  <c r="F62" i="1"/>
  <c r="F63" i="1" s="1"/>
  <c r="F64" i="1" s="1"/>
  <c r="F72" i="1" s="1"/>
  <c r="F73" i="1" s="1"/>
  <c r="F74" i="1" s="1"/>
  <c r="F75" i="1" s="1"/>
  <c r="F76" i="1" s="1"/>
  <c r="F77" i="1" s="1"/>
  <c r="F79" i="1" s="1"/>
  <c r="F80" i="1" s="1"/>
  <c r="F82" i="1" s="1"/>
  <c r="F83" i="1" s="1"/>
  <c r="F92" i="1"/>
  <c r="E22" i="1"/>
  <c r="G22" i="1"/>
  <c r="A28" i="1"/>
  <c r="A21" i="1"/>
  <c r="F57" i="1"/>
  <c r="F49" i="1"/>
  <c r="F48" i="1"/>
  <c r="F40" i="1"/>
  <c r="F39" i="1"/>
  <c r="F29" i="1"/>
  <c r="F28" i="1"/>
  <c r="F20" i="1"/>
  <c r="F54" i="1"/>
  <c r="F45" i="1"/>
  <c r="F35" i="1"/>
  <c r="F34" i="1"/>
  <c r="F25" i="1"/>
  <c r="D61" i="1"/>
  <c r="A66" i="1" s="1"/>
  <c r="F60" i="1"/>
  <c r="F59" i="1"/>
  <c r="F52" i="1"/>
  <c r="F51" i="1"/>
  <c r="F43" i="1"/>
  <c r="F42" i="1"/>
  <c r="F32" i="1"/>
  <c r="F31" i="1"/>
  <c r="F24" i="1"/>
  <c r="F46" i="1"/>
  <c r="F37" i="1"/>
  <c r="A54" i="1"/>
  <c r="A51" i="1"/>
  <c r="G50" i="1"/>
  <c r="G68" i="1"/>
  <c r="D67" i="1"/>
  <c r="G67" i="1" s="1"/>
  <c r="D82" i="1"/>
  <c r="A80" i="1"/>
  <c r="A84" i="1"/>
  <c r="A87" i="1"/>
  <c r="F87" i="1"/>
  <c r="D88" i="1"/>
  <c r="D85" i="1"/>
  <c r="F89" i="1"/>
  <c r="D18" i="1"/>
  <c r="G18" i="1" s="1"/>
  <c r="A19" i="1"/>
  <c r="A34" i="1"/>
  <c r="G64" i="1"/>
  <c r="D93" i="1"/>
  <c r="D94" i="1"/>
  <c r="D98" i="1"/>
  <c r="A99" i="1" s="1"/>
  <c r="H59" i="8"/>
  <c r="H58" i="8"/>
  <c r="H57" i="8"/>
  <c r="B57" i="8"/>
  <c r="H53" i="8"/>
  <c r="H52" i="8"/>
  <c r="H51" i="8"/>
  <c r="H50" i="8"/>
  <c r="H49" i="8"/>
  <c r="H48" i="8"/>
  <c r="H47" i="8"/>
  <c r="H46" i="8"/>
  <c r="H45" i="8"/>
  <c r="H44" i="8"/>
  <c r="H43" i="8"/>
  <c r="H42" i="8"/>
  <c r="B42" i="8"/>
  <c r="H38" i="8"/>
  <c r="H37" i="8"/>
  <c r="B37" i="8"/>
  <c r="H33" i="8"/>
  <c r="H32" i="8"/>
  <c r="H31" i="8"/>
  <c r="H30" i="8"/>
  <c r="H29" i="8"/>
  <c r="H28" i="8"/>
  <c r="H27" i="8"/>
  <c r="E25" i="8"/>
  <c r="H23" i="8"/>
  <c r="D23" i="8"/>
  <c r="D27" i="8" s="1"/>
  <c r="H22" i="8"/>
  <c r="D22" i="8"/>
  <c r="H18" i="8"/>
  <c r="D18" i="8"/>
  <c r="H17" i="8"/>
  <c r="D17" i="8"/>
  <c r="H16" i="8"/>
  <c r="D16" i="8"/>
  <c r="H15" i="8"/>
  <c r="D15" i="8"/>
  <c r="H14" i="8"/>
  <c r="E12" i="8"/>
  <c r="H9" i="8"/>
  <c r="N5" i="8"/>
  <c r="E40" i="8" s="1"/>
  <c r="N4" i="8"/>
  <c r="G4" i="8"/>
  <c r="F4" i="8"/>
  <c r="F9" i="8" s="1"/>
  <c r="M3" i="8"/>
  <c r="C12" i="8" s="1"/>
  <c r="F2" i="8"/>
  <c r="C2" i="8"/>
  <c r="G5" i="8" s="1"/>
  <c r="G1" i="8"/>
  <c r="F1" i="8"/>
  <c r="H32" i="7"/>
  <c r="H31" i="7"/>
  <c r="H28" i="7"/>
  <c r="H27" i="7"/>
  <c r="K24" i="7"/>
  <c r="H24" i="7"/>
  <c r="H23" i="7"/>
  <c r="K19" i="7"/>
  <c r="H19" i="7"/>
  <c r="E14" i="7"/>
  <c r="H9" i="7"/>
  <c r="K20" i="7" s="1"/>
  <c r="H8" i="7"/>
  <c r="H2" i="7"/>
  <c r="G2" i="7"/>
  <c r="D2" i="7"/>
  <c r="H5" i="7" s="1"/>
  <c r="C2" i="7"/>
  <c r="D1" i="7"/>
  <c r="G83" i="1" l="1"/>
  <c r="F88" i="1"/>
  <c r="A88" i="1"/>
  <c r="A92" i="1"/>
  <c r="G89" i="1"/>
  <c r="A101" i="1"/>
  <c r="A82" i="1"/>
  <c r="G81" i="1"/>
  <c r="F18" i="1"/>
  <c r="D95" i="1"/>
  <c r="F95" i="1" s="1"/>
  <c r="A93" i="1"/>
  <c r="F93" i="1"/>
  <c r="A61" i="1"/>
  <c r="G62" i="1"/>
  <c r="D96" i="1"/>
  <c r="G94" i="1"/>
  <c r="F94" i="1"/>
  <c r="F85" i="1"/>
  <c r="G85" i="1"/>
  <c r="G71" i="1"/>
  <c r="D73" i="1"/>
  <c r="C25" i="8"/>
  <c r="C35" i="8" s="1"/>
  <c r="C40" i="8" s="1"/>
  <c r="C18" i="8"/>
  <c r="F18" i="8" s="1"/>
  <c r="C22" i="8"/>
  <c r="D28" i="8"/>
  <c r="D31" i="8"/>
  <c r="D29" i="8"/>
  <c r="D32" i="8"/>
  <c r="D30" i="8"/>
  <c r="D33" i="8"/>
  <c r="D37" i="8" s="1"/>
  <c r="D38" i="8" s="1"/>
  <c r="D42" i="8" s="1"/>
  <c r="C55" i="8"/>
  <c r="G2" i="8"/>
  <c r="C15" i="8"/>
  <c r="G15" i="8" s="1"/>
  <c r="C23" i="8"/>
  <c r="C27" i="8" s="1"/>
  <c r="F15" i="8"/>
  <c r="C17" i="8"/>
  <c r="F17" i="8" s="1"/>
  <c r="F27" i="8"/>
  <c r="F23" i="8"/>
  <c r="G27" i="8"/>
  <c r="G22" i="8"/>
  <c r="F5" i="8"/>
  <c r="G9" i="8" s="1"/>
  <c r="F14" i="8"/>
  <c r="C16" i="8"/>
  <c r="F16" i="8" s="1"/>
  <c r="G17" i="8"/>
  <c r="F22" i="8"/>
  <c r="K28" i="7"/>
  <c r="H4" i="7"/>
  <c r="K23" i="7"/>
  <c r="K32" i="7"/>
  <c r="G1" i="7"/>
  <c r="G5" i="7"/>
  <c r="K27" i="7"/>
  <c r="G4" i="7"/>
  <c r="H1" i="7"/>
  <c r="D14" i="7"/>
  <c r="K31" i="7"/>
  <c r="G96" i="1" l="1"/>
  <c r="F96" i="1"/>
  <c r="A98" i="1"/>
  <c r="D74" i="1"/>
  <c r="G73" i="1"/>
  <c r="G18" i="8"/>
  <c r="D58" i="8"/>
  <c r="D49" i="8"/>
  <c r="D52" i="8"/>
  <c r="D44" i="8"/>
  <c r="D47" i="8"/>
  <c r="D59" i="8"/>
  <c r="D50" i="8"/>
  <c r="D46" i="8"/>
  <c r="D53" i="8"/>
  <c r="D57" i="8" s="1"/>
  <c r="D45" i="8"/>
  <c r="D48" i="8"/>
  <c r="D51" i="8"/>
  <c r="D43" i="8"/>
  <c r="G23" i="8"/>
  <c r="G16" i="8"/>
  <c r="C33" i="8"/>
  <c r="C28" i="8"/>
  <c r="F28" i="8" s="1"/>
  <c r="C30" i="8"/>
  <c r="C31" i="8"/>
  <c r="F31" i="8" s="1"/>
  <c r="C29" i="8"/>
  <c r="C32" i="8"/>
  <c r="G14" i="8"/>
  <c r="G8" i="7"/>
  <c r="G9" i="7"/>
  <c r="C14" i="7"/>
  <c r="F8" i="7"/>
  <c r="F9" i="7"/>
  <c r="E74" i="1" l="1"/>
  <c r="A74" i="1"/>
  <c r="A100" i="1" s="1"/>
  <c r="G75" i="1"/>
  <c r="A76" i="1"/>
  <c r="G29" i="8"/>
  <c r="F29" i="8"/>
  <c r="G28" i="8"/>
  <c r="F32" i="8"/>
  <c r="G32" i="8"/>
  <c r="F30" i="8"/>
  <c r="G30" i="8"/>
  <c r="G31" i="8"/>
  <c r="C37" i="8"/>
  <c r="G33" i="8"/>
  <c r="F33" i="8"/>
  <c r="I32" i="7"/>
  <c r="I28" i="7"/>
  <c r="I19" i="7"/>
  <c r="I24" i="7"/>
  <c r="I20" i="7"/>
  <c r="I14" i="7"/>
  <c r="I23" i="7"/>
  <c r="I31" i="7"/>
  <c r="I27" i="7"/>
  <c r="G31" i="7"/>
  <c r="G27" i="7"/>
  <c r="G14" i="7"/>
  <c r="G32" i="7"/>
  <c r="G23" i="7"/>
  <c r="G28" i="7"/>
  <c r="G19" i="7"/>
  <c r="G24" i="7"/>
  <c r="G20" i="7"/>
  <c r="F31" i="7"/>
  <c r="F27" i="7"/>
  <c r="F14" i="7"/>
  <c r="F32" i="7"/>
  <c r="F23" i="7"/>
  <c r="F28" i="7"/>
  <c r="F19" i="7"/>
  <c r="F24" i="7"/>
  <c r="F20" i="7"/>
  <c r="H14" i="7"/>
  <c r="H20" i="7" s="1"/>
  <c r="K14" i="7"/>
  <c r="J14" i="7"/>
  <c r="J28" i="7"/>
  <c r="J24" i="7"/>
  <c r="J20" i="7"/>
  <c r="J19" i="7"/>
  <c r="J21" i="7" s="1"/>
  <c r="J31" i="7"/>
  <c r="J27" i="7"/>
  <c r="J29" i="7" s="1"/>
  <c r="J32" i="7"/>
  <c r="J23" i="7"/>
  <c r="F37" i="8" l="1"/>
  <c r="C38" i="8"/>
  <c r="G37" i="8"/>
  <c r="I33" i="7"/>
  <c r="I25" i="7"/>
  <c r="I29" i="7"/>
  <c r="J25" i="7"/>
  <c r="J33" i="7"/>
  <c r="I21" i="7"/>
  <c r="C42" i="8" l="1"/>
  <c r="F38" i="8"/>
  <c r="G38" i="8"/>
  <c r="E29" i="7"/>
  <c r="D29" i="7"/>
  <c r="C29" i="7"/>
  <c r="E21" i="7"/>
  <c r="D21" i="7"/>
  <c r="C21" i="7"/>
  <c r="E25" i="7"/>
  <c r="D25" i="7"/>
  <c r="C25" i="7"/>
  <c r="L33" i="7"/>
  <c r="E33" i="7"/>
  <c r="D33" i="7"/>
  <c r="C33" i="7"/>
  <c r="C46" i="8" l="1"/>
  <c r="C43" i="8"/>
  <c r="C49" i="8"/>
  <c r="C52" i="8"/>
  <c r="C44" i="8"/>
  <c r="C47" i="8"/>
  <c r="C51" i="8"/>
  <c r="C50" i="8"/>
  <c r="C53" i="8"/>
  <c r="C45" i="8"/>
  <c r="C48" i="8"/>
  <c r="F42" i="8"/>
  <c r="G42" i="8"/>
  <c r="F51" i="8" l="1"/>
  <c r="G51" i="8"/>
  <c r="F47" i="8"/>
  <c r="G47" i="8"/>
  <c r="F44" i="8"/>
  <c r="G44" i="8"/>
  <c r="F52" i="8"/>
  <c r="G52" i="8"/>
  <c r="F48" i="8"/>
  <c r="G48" i="8"/>
  <c r="F49" i="8"/>
  <c r="G49" i="8"/>
  <c r="F50" i="8"/>
  <c r="G50" i="8"/>
  <c r="F43" i="8"/>
  <c r="G43" i="8"/>
  <c r="F45" i="8"/>
  <c r="G45" i="8"/>
  <c r="C57" i="8"/>
  <c r="F53" i="8"/>
  <c r="G53" i="8"/>
  <c r="F46" i="8"/>
  <c r="G46" i="8"/>
  <c r="C58" i="8" l="1"/>
  <c r="C59" i="8"/>
  <c r="F57" i="8"/>
  <c r="G57" i="8"/>
  <c r="F59" i="8" l="1"/>
  <c r="G59" i="8"/>
  <c r="F58" i="8"/>
  <c r="G58" i="8"/>
</calcChain>
</file>

<file path=xl/comments1.xml><?xml version="1.0" encoding="utf-8"?>
<comments xmlns="http://schemas.openxmlformats.org/spreadsheetml/2006/main">
  <authors>
    <author>Jan Saroun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minor axis length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width or height of the smaller end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length from smaller end to the ellipse center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distance of the minor axis from the source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major semi-axis length, determined by simulations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preliminary values, subject to future changes, e.g. m-values</t>
        </r>
      </text>
    </comment>
  </commentList>
</comments>
</file>

<file path=xl/comments2.xml><?xml version="1.0" encoding="utf-8"?>
<comments xmlns="http://schemas.openxmlformats.org/spreadsheetml/2006/main">
  <authors>
    <author>Jan Saroun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optics insert</t>
        </r>
      </text>
    </comment>
  </commentList>
</comments>
</file>

<file path=xl/comments3.xml><?xml version="1.0" encoding="utf-8"?>
<comments xmlns="http://schemas.openxmlformats.org/spreadsheetml/2006/main">
  <authors>
    <author>Jan Saroun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parallel to beam axis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vertical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antiparallel to proton beam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vertical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Jan Saroun:</t>
        </r>
        <r>
          <rPr>
            <sz val="9"/>
            <color indexed="81"/>
            <rFont val="Tahoma"/>
            <family val="2"/>
            <charset val="238"/>
          </rPr>
          <t xml:space="preserve">
expressed in the other system</t>
        </r>
      </text>
    </comment>
  </commentList>
</comments>
</file>

<file path=xl/sharedStrings.xml><?xml version="1.0" encoding="utf-8"?>
<sst xmlns="http://schemas.openxmlformats.org/spreadsheetml/2006/main" count="356" uniqueCount="221">
  <si>
    <t>bi-spectral switch</t>
  </si>
  <si>
    <t>monolith</t>
  </si>
  <si>
    <t>chopper section</t>
  </si>
  <si>
    <t>guide</t>
  </si>
  <si>
    <t>wavelength selection</t>
  </si>
  <si>
    <t>length</t>
  </si>
  <si>
    <t>position</t>
  </si>
  <si>
    <t>description</t>
  </si>
  <si>
    <t>pulse shaping</t>
  </si>
  <si>
    <t>modulation</t>
  </si>
  <si>
    <t>ID</t>
  </si>
  <si>
    <t>chopper, fast</t>
  </si>
  <si>
    <t>chopper, slow</t>
  </si>
  <si>
    <t>remark</t>
  </si>
  <si>
    <t>bunker</t>
  </si>
  <si>
    <t>H: parallel, V: flat expanding</t>
  </si>
  <si>
    <t>guide, H expansion</t>
  </si>
  <si>
    <t>guide hall</t>
  </si>
  <si>
    <t>parallel, H curved</t>
  </si>
  <si>
    <t>H: flat convergent, V: elliptic expanding, Cu substrate</t>
  </si>
  <si>
    <t>multichannel guide with semi-transparent Si wafers</t>
  </si>
  <si>
    <t>guide curved, part 1</t>
  </si>
  <si>
    <t>guide, V focusing, part 1</t>
  </si>
  <si>
    <t>guide, curved, part 2</t>
  </si>
  <si>
    <t>with guide insert</t>
  </si>
  <si>
    <t>H: parallel, V: focusing elliptic</t>
  </si>
  <si>
    <t>slit</t>
  </si>
  <si>
    <t>divergence slit, H+V adjustable</t>
  </si>
  <si>
    <t>guide, V focusing, part 2</t>
  </si>
  <si>
    <t>experimental hall</t>
  </si>
  <si>
    <t>guide, focusing, exchangable 1</t>
  </si>
  <si>
    <t>guide, focusing, exchangable 2</t>
  </si>
  <si>
    <t>H: focusing, V: focusing elliptic</t>
  </si>
  <si>
    <t>slit, sample</t>
  </si>
  <si>
    <t>sample axis</t>
  </si>
  <si>
    <t>light slit for gauge volume definition, exchangable, adjustable</t>
  </si>
  <si>
    <t>G0a</t>
  </si>
  <si>
    <t>G0b</t>
  </si>
  <si>
    <t>GCa</t>
  </si>
  <si>
    <t>GE1</t>
  </si>
  <si>
    <t>GE2</t>
  </si>
  <si>
    <t>GF1</t>
  </si>
  <si>
    <t>GSH1</t>
  </si>
  <si>
    <t>GSW</t>
  </si>
  <si>
    <t>GCb</t>
  </si>
  <si>
    <t>GCc</t>
  </si>
  <si>
    <t>GCe</t>
  </si>
  <si>
    <t>GCf</t>
  </si>
  <si>
    <t>GCg</t>
  </si>
  <si>
    <t>GF2</t>
  </si>
  <si>
    <t>GF3a</t>
  </si>
  <si>
    <t>S1</t>
  </si>
  <si>
    <t>S2</t>
  </si>
  <si>
    <t>S3</t>
  </si>
  <si>
    <t>component</t>
  </si>
  <si>
    <t>remarks</t>
  </si>
  <si>
    <t>2</t>
  </si>
  <si>
    <t>width</t>
  </si>
  <si>
    <t>height</t>
  </si>
  <si>
    <t>guide, primary shutter insert</t>
  </si>
  <si>
    <t>with guide insert, Cu substrate</t>
  </si>
  <si>
    <t>parameters, requirements</t>
  </si>
  <si>
    <t>Requirements</t>
  </si>
  <si>
    <t>chopper to guide distance</t>
  </si>
  <si>
    <t>default gap btw. guide sections</t>
  </si>
  <si>
    <t>length reserve for constraints / pillars</t>
  </si>
  <si>
    <t>Elliptic surfaces</t>
  </si>
  <si>
    <t>Vertical, from source</t>
  </si>
  <si>
    <t>2b</t>
  </si>
  <si>
    <t>z(2b)</t>
  </si>
  <si>
    <t>a</t>
  </si>
  <si>
    <t>Horizontal, expansion</t>
  </si>
  <si>
    <t>Vertical, focusing at the sample</t>
  </si>
  <si>
    <t>buker radius</t>
  </si>
  <si>
    <t>bunker wall thickness</t>
  </si>
  <si>
    <t>bi-spectral switch distance</t>
  </si>
  <si>
    <t>bi-spectral switch length</t>
  </si>
  <si>
    <t>2nd shutter thickness</t>
  </si>
  <si>
    <t>1st shutter thickness</t>
  </si>
  <si>
    <t>chopper FC2 position</t>
  </si>
  <si>
    <t>componets G0 .. GE1 follow common vertical profile - an elliptic surface optimized for the given moderator height</t>
  </si>
  <si>
    <t>componets GF1-GF3 follow common vertical profile - an elliptic surface focusing at the sample</t>
  </si>
  <si>
    <t>2, 3</t>
  </si>
  <si>
    <t>GF3a and GF3b are exchangable (a lift exchanger is assumed)</t>
  </si>
  <si>
    <t>bunker outer (?) radius is 28 m</t>
  </si>
  <si>
    <t>vacuum gap</t>
  </si>
  <si>
    <t>PSC1</t>
  </si>
  <si>
    <t>PSC2</t>
  </si>
  <si>
    <t>FC1a</t>
  </si>
  <si>
    <t>Blue numbers are the input data - edit</t>
  </si>
  <si>
    <t>number of vacuum gaps</t>
  </si>
  <si>
    <t>gaps</t>
  </si>
  <si>
    <t>MCa</t>
  </si>
  <si>
    <t>FC2a</t>
  </si>
  <si>
    <t>mh=4; mv=4</t>
  </si>
  <si>
    <t>mh=2.5; mv=2</t>
  </si>
  <si>
    <t>max. f=168 Hz, win=144 deg.</t>
  </si>
  <si>
    <t>max. f=70 Hz, win=180 deg.</t>
  </si>
  <si>
    <t>max. f=280 Hz, win=16 x 4 deg.</t>
  </si>
  <si>
    <t>max. f=280 Hz, win=4 x 4 deg.</t>
  </si>
  <si>
    <t>version</t>
  </si>
  <si>
    <t>date</t>
  </si>
  <si>
    <t>Black numers are calculated</t>
  </si>
  <si>
    <t>default gap at wall boundaries</t>
  </si>
  <si>
    <t>default gap for a slit</t>
  </si>
  <si>
    <t>Length to the sample</t>
  </si>
  <si>
    <t>angle</t>
  </si>
  <si>
    <t>deg</t>
  </si>
  <si>
    <t>beamport angle</t>
  </si>
  <si>
    <t>x</t>
  </si>
  <si>
    <t>z</t>
  </si>
  <si>
    <t>x'</t>
  </si>
  <si>
    <t>y'</t>
  </si>
  <si>
    <t>max. f=70 Hz, win=1 x 180 deg. + 7 x 4 deg</t>
  </si>
  <si>
    <t>max. f=14 Hz, win=180 deg</t>
  </si>
  <si>
    <t>max. f=7 Hz, win=90 deg</t>
  </si>
  <si>
    <t>dist</t>
  </si>
  <si>
    <t>max. f=14 Hz, win=72 deg.</t>
  </si>
  <si>
    <t>rad</t>
  </si>
  <si>
    <t>guide narrow, curved</t>
  </si>
  <si>
    <t>guide, curved, V expansion</t>
  </si>
  <si>
    <t>H: parallel V: elliptic expanding</t>
  </si>
  <si>
    <t>H: elliptic expansion, V: parallel</t>
  </si>
  <si>
    <t>guide narrow, curved, wall insert</t>
  </si>
  <si>
    <t>GN1</t>
  </si>
  <si>
    <t>GN2</t>
  </si>
  <si>
    <t>focusing guide</t>
  </si>
  <si>
    <t>shutter end at R=5897</t>
  </si>
  <si>
    <t>mh=4; mv=3</t>
  </si>
  <si>
    <t>front face of monolith exit, distance</t>
  </si>
  <si>
    <t>w or h</t>
  </si>
  <si>
    <t>L</t>
  </si>
  <si>
    <t>2nd shutter position (from bunker wall)</t>
  </si>
  <si>
    <t>parallel, shielding insert</t>
  </si>
  <si>
    <t>wall after 2nd shutter, thickness</t>
  </si>
  <si>
    <t>secondary shutter throughput</t>
  </si>
  <si>
    <t>throughput in shielding wall</t>
  </si>
  <si>
    <t>guide btw. bunker wall and shutter</t>
  </si>
  <si>
    <t>default gap for shutters</t>
  </si>
  <si>
    <t>1st shutter front wall distance</t>
  </si>
  <si>
    <t>GT1</t>
  </si>
  <si>
    <t>GT2</t>
  </si>
  <si>
    <t>R</t>
  </si>
  <si>
    <t>origin 1</t>
  </si>
  <si>
    <t>origin 2</t>
  </si>
  <si>
    <t>Rinv</t>
  </si>
  <si>
    <t>y</t>
  </si>
  <si>
    <t>z'</t>
  </si>
  <si>
    <t>conversions</t>
  </si>
  <si>
    <t>TCS</t>
  </si>
  <si>
    <t>BPCS-old</t>
  </si>
  <si>
    <t>BPCS-new</t>
  </si>
  <si>
    <t>x''</t>
  </si>
  <si>
    <t>y''</t>
  </si>
  <si>
    <t>z''</t>
  </si>
  <si>
    <t>point</t>
  </si>
  <si>
    <t>rotated</t>
  </si>
  <si>
    <t>ESS 0065184, rev. 1.2</t>
  </si>
  <si>
    <t>W2 beamport coordinates</t>
  </si>
  <si>
    <t>front face, bottom left</t>
  </si>
  <si>
    <t>front face, bottom right</t>
  </si>
  <si>
    <t>front face center</t>
  </si>
  <si>
    <t>exit face, bottom left</t>
  </si>
  <si>
    <t>exit face, bottom right</t>
  </si>
  <si>
    <t>exit face center</t>
  </si>
  <si>
    <t>shutter entry face, bottom left</t>
  </si>
  <si>
    <t>shutter entry face, bottom right</t>
  </si>
  <si>
    <t>shutter entry face, center</t>
  </si>
  <si>
    <t>shutter exit face, bottom left</t>
  </si>
  <si>
    <t>shutter exit face, bottom right</t>
  </si>
  <si>
    <t>shutter exit face, center</t>
  </si>
  <si>
    <t>shutter thickness</t>
  </si>
  <si>
    <t>angle, deg</t>
  </si>
  <si>
    <t>angle, rad</t>
  </si>
  <si>
    <t>1/R, m-1</t>
  </si>
  <si>
    <t>Monolith insert</t>
  </si>
  <si>
    <t>Bent guide 2 cm</t>
  </si>
  <si>
    <t>Bent guide 4 cm</t>
  </si>
  <si>
    <t>coordinates origin</t>
  </si>
  <si>
    <t>1/radius</t>
  </si>
  <si>
    <t>entry</t>
  </si>
  <si>
    <t>exit</t>
  </si>
  <si>
    <t>shutter entry</t>
  </si>
  <si>
    <t>shutter exit</t>
  </si>
  <si>
    <t>start</t>
  </si>
  <si>
    <t>end</t>
  </si>
  <si>
    <t>bent guide, w=2 cm</t>
  </si>
  <si>
    <t>end of V-expansion</t>
  </si>
  <si>
    <t>bunker wall inner</t>
  </si>
  <si>
    <t>bunker wall outer</t>
  </si>
  <si>
    <t>expansion after the bunker</t>
  </si>
  <si>
    <t>curved guide</t>
  </si>
  <si>
    <t>assmed position FC2</t>
  </si>
  <si>
    <t>assumed end</t>
  </si>
  <si>
    <t>assumed cave wall position ?</t>
  </si>
  <si>
    <t>assumed sample position ?</t>
  </si>
  <si>
    <t>mh=2.5; mv=3</t>
  </si>
  <si>
    <t>secondary shutter is assumed just after the bunker</t>
  </si>
  <si>
    <t>origin at x=-30 mm, insert angle=0.3 deg</t>
  </si>
  <si>
    <t>m_left=0, m_right=3, mv=4, x=12.5 mm, angle = -0.5537 deg</t>
  </si>
  <si>
    <t>mh=0; mv=4</t>
  </si>
  <si>
    <t>PSC3(*)</t>
  </si>
  <si>
    <t>FC1b(*)</t>
  </si>
  <si>
    <t>MCb(*)</t>
  </si>
  <si>
    <t>MCc(*)</t>
  </si>
  <si>
    <t>m_left=3, m_right=2.5, mv=3</t>
  </si>
  <si>
    <t>m_left=3, m_right=2.5, mv=2, R=2 km</t>
  </si>
  <si>
    <t>GSH2a</t>
  </si>
  <si>
    <t>GSH2b</t>
  </si>
  <si>
    <t>GSH2c</t>
  </si>
  <si>
    <t>m_left=2, m_right=2.5, R=20 km</t>
  </si>
  <si>
    <t>FC2b(*)</t>
  </si>
  <si>
    <t>inner wall radius is ~ 153.5 m</t>
  </si>
  <si>
    <t>mh=0; mv=5</t>
  </si>
  <si>
    <t>(*)</t>
  </si>
  <si>
    <t>choppers not included in the construction scope, to be added during staging period</t>
  </si>
  <si>
    <t>BEER coordinates</t>
  </si>
  <si>
    <t>mh=2, mv=4, x=0 mm, angle =0 deg</t>
  </si>
  <si>
    <t>6 double coated Si blades, distance 2711, m=3.5. side walls: mh=2, mv=4, x=5.9 mm, angle = -0.676 deg</t>
  </si>
  <si>
    <t>mh=3 (0 .. 2.5 m), mh=0 (2.5 m .. end); mv=4</t>
  </si>
  <si>
    <t>GF3b(*)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</si>
</sst>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_ ;\-0.0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wrapText="1"/>
    </xf>
    <xf numFmtId="0" fontId="0" fillId="3" borderId="2" xfId="0" applyFill="1" applyBorder="1"/>
    <xf numFmtId="0" fontId="0" fillId="3" borderId="2" xfId="0" applyFill="1" applyBorder="1" applyAlignment="1">
      <alignment vertical="center" wrapText="1"/>
    </xf>
    <xf numFmtId="0" fontId="4" fillId="0" borderId="0" xfId="0" applyFont="1"/>
    <xf numFmtId="2" fontId="0" fillId="3" borderId="2" xfId="0" applyNumberFormat="1" applyFill="1" applyBorder="1"/>
    <xf numFmtId="1" fontId="0" fillId="3" borderId="2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1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/>
    <xf numFmtId="0" fontId="5" fillId="0" borderId="0" xfId="0" applyNumberFormat="1" applyFont="1" applyBorder="1" applyAlignment="1">
      <alignment horizontal="right" wrapText="1"/>
    </xf>
    <xf numFmtId="0" fontId="5" fillId="0" borderId="0" xfId="0" applyFont="1" applyBorder="1"/>
    <xf numFmtId="49" fontId="0" fillId="0" borderId="0" xfId="0" applyNumberFormat="1" applyBorder="1" applyAlignment="1">
      <alignment horizont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49" fontId="0" fillId="0" borderId="10" xfId="0" applyNumberFormat="1" applyBorder="1" applyAlignment="1">
      <alignment horizontal="center" wrapText="1"/>
    </xf>
    <xf numFmtId="0" fontId="3" fillId="0" borderId="4" xfId="0" applyFont="1" applyFill="1" applyBorder="1"/>
    <xf numFmtId="2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/>
    <xf numFmtId="0" fontId="0" fillId="0" borderId="5" xfId="0" applyFill="1" applyBorder="1" applyAlignment="1">
      <alignment vertical="center" wrapText="1"/>
    </xf>
    <xf numFmtId="0" fontId="0" fillId="0" borderId="5" xfId="0" applyFill="1" applyBorder="1"/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2" fillId="3" borderId="2" xfId="0" applyFont="1" applyFill="1" applyBorder="1"/>
    <xf numFmtId="2" fontId="4" fillId="3" borderId="2" xfId="0" applyNumberFormat="1" applyFont="1" applyFill="1" applyBorder="1"/>
    <xf numFmtId="1" fontId="4" fillId="3" borderId="2" xfId="0" applyNumberFormat="1" applyFont="1" applyFill="1" applyBorder="1"/>
    <xf numFmtId="49" fontId="0" fillId="3" borderId="2" xfId="0" applyNumberFormat="1" applyFill="1" applyBorder="1" applyAlignment="1">
      <alignment horizontal="center" wrapText="1"/>
    </xf>
    <xf numFmtId="0" fontId="0" fillId="2" borderId="0" xfId="0" applyFill="1" applyBorder="1" applyAlignment="1">
      <alignment vertical="center"/>
    </xf>
    <xf numFmtId="2" fontId="4" fillId="0" borderId="0" xfId="0" applyNumberFormat="1" applyFont="1" applyBorder="1"/>
    <xf numFmtId="2" fontId="0" fillId="0" borderId="0" xfId="0" applyNumberFormat="1" applyBorder="1"/>
    <xf numFmtId="1" fontId="0" fillId="0" borderId="0" xfId="0" applyNumberFormat="1" applyBorder="1"/>
    <xf numFmtId="0" fontId="0" fillId="0" borderId="8" xfId="0" applyBorder="1" applyAlignment="1">
      <alignment vertical="center" wrapText="1"/>
    </xf>
    <xf numFmtId="49" fontId="0" fillId="0" borderId="0" xfId="0" applyNumberFormat="1" applyBorder="1" applyAlignment="1">
      <alignment horizontal="right"/>
    </xf>
    <xf numFmtId="0" fontId="0" fillId="5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0" xfId="0" applyFont="1" applyBorder="1"/>
    <xf numFmtId="0" fontId="0" fillId="0" borderId="8" xfId="0" applyFill="1" applyBorder="1" applyAlignment="1">
      <alignment vertical="center" wrapText="1"/>
    </xf>
    <xf numFmtId="2" fontId="2" fillId="0" borderId="10" xfId="0" applyNumberFormat="1" applyFont="1" applyBorder="1"/>
    <xf numFmtId="1" fontId="2" fillId="0" borderId="10" xfId="0" applyNumberFormat="1" applyFont="1" applyBorder="1"/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2" fontId="0" fillId="0" borderId="0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2" fontId="4" fillId="0" borderId="0" xfId="0" applyNumberFormat="1" applyFont="1"/>
    <xf numFmtId="11" fontId="0" fillId="0" borderId="0" xfId="0" applyNumberFormat="1"/>
    <xf numFmtId="2" fontId="2" fillId="0" borderId="0" xfId="0" applyNumberFormat="1" applyFont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NumberFormat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8" xfId="0" applyNumberFormat="1" applyFont="1" applyBorder="1" applyAlignment="1">
      <alignment horizontal="right" wrapText="1"/>
    </xf>
    <xf numFmtId="1" fontId="2" fillId="0" borderId="0" xfId="0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2" xfId="0" applyFill="1" applyBorder="1"/>
    <xf numFmtId="0" fontId="0" fillId="0" borderId="2" xfId="0" applyBorder="1"/>
    <xf numFmtId="1" fontId="4" fillId="0" borderId="0" xfId="0" applyNumberFormat="1" applyFont="1" applyBorder="1"/>
    <xf numFmtId="1" fontId="2" fillId="0" borderId="8" xfId="0" applyNumberFormat="1" applyFont="1" applyBorder="1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Border="1"/>
    <xf numFmtId="0" fontId="4" fillId="0" borderId="7" xfId="0" applyFont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9" fillId="0" borderId="0" xfId="0" applyNumberFormat="1" applyFont="1"/>
    <xf numFmtId="11" fontId="4" fillId="0" borderId="0" xfId="0" applyNumberFormat="1" applyFont="1"/>
    <xf numFmtId="0" fontId="0" fillId="0" borderId="0" xfId="0" applyNumberFormat="1" applyBorder="1" applyAlignment="1">
      <alignment horizontal="center" wrapText="1"/>
    </xf>
    <xf numFmtId="0" fontId="9" fillId="0" borderId="0" xfId="0" applyFont="1"/>
    <xf numFmtId="0" fontId="0" fillId="0" borderId="10" xfId="0" applyBorder="1" applyAlignment="1">
      <alignment vertical="center"/>
    </xf>
    <xf numFmtId="0" fontId="5" fillId="0" borderId="10" xfId="0" applyFont="1" applyBorder="1"/>
    <xf numFmtId="49" fontId="0" fillId="0" borderId="0" xfId="0" applyNumberFormat="1"/>
    <xf numFmtId="49" fontId="0" fillId="0" borderId="0" xfId="0" applyNumberFormat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8" borderId="0" xfId="0" applyFill="1" applyBorder="1"/>
    <xf numFmtId="0" fontId="0" fillId="9" borderId="0" xfId="0" applyFill="1"/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'beam axis'!$A$12</c:f>
              <c:strCache>
                <c:ptCount val="1"/>
                <c:pt idx="0">
                  <c:v>Monolith insert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'beam axis'!$B$14:$B$18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2026.3433940151897</c:v>
                </c:pt>
                <c:pt idx="2">
                  <c:v>5402.3427861669425</c:v>
                </c:pt>
                <c:pt idx="3">
                  <c:v>5405.3431041769345</c:v>
                </c:pt>
                <c:pt idx="4">
                  <c:v>5896.7393537128792</c:v>
                </c:pt>
              </c:numCache>
            </c:numRef>
          </c:xVal>
          <c:yVal>
            <c:numRef>
              <c:f>'beam axis'!$C$14:$C$18</c:f>
              <c:numCache>
                <c:formatCode>0.00</c:formatCode>
                <c:ptCount val="5"/>
                <c:pt idx="0" formatCode="General">
                  <c:v>-30</c:v>
                </c:pt>
                <c:pt idx="1">
                  <c:v>-19.390090799519456</c:v>
                </c:pt>
                <c:pt idx="2">
                  <c:v>-1.7133993180068678</c:v>
                </c:pt>
                <c:pt idx="3">
                  <c:v>-1.6976896896424947</c:v>
                </c:pt>
                <c:pt idx="4">
                  <c:v>0.87525505626367561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'beam axis'!$A$20</c:f>
              <c:strCache>
                <c:ptCount val="1"/>
                <c:pt idx="0">
                  <c:v>chopper section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'beam axis'!$B$22:$B$23</c:f>
              <c:numCache>
                <c:formatCode>0.00</c:formatCode>
                <c:ptCount val="2"/>
                <c:pt idx="0">
                  <c:v>5910</c:v>
                </c:pt>
                <c:pt idx="1">
                  <c:v>10000</c:v>
                </c:pt>
              </c:numCache>
            </c:numRef>
          </c:xVal>
          <c:yVal>
            <c:numRef>
              <c:f>'beam axis'!$C$22:$C$23</c:f>
              <c:numCache>
                <c:formatCode>0.00</c:formatCode>
                <c:ptCount val="2"/>
                <c:pt idx="0">
                  <c:v>0.94468763785945953</c:v>
                </c:pt>
                <c:pt idx="1">
                  <c:v>22.359877559829883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'beam axis'!$A$25</c:f>
              <c:strCache>
                <c:ptCount val="1"/>
                <c:pt idx="0">
                  <c:v>bent guide, w=2 cm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'beam axis'!$B$27:$B$33</c:f>
              <c:numCache>
                <c:formatCode>0.00</c:formatCode>
                <c:ptCount val="7"/>
                <c:pt idx="0">
                  <c:v>10000</c:v>
                </c:pt>
                <c:pt idx="1">
                  <c:v>12500</c:v>
                </c:pt>
                <c:pt idx="2">
                  <c:v>15000</c:v>
                </c:pt>
                <c:pt idx="3">
                  <c:v>18000</c:v>
                </c:pt>
                <c:pt idx="4">
                  <c:v>21000</c:v>
                </c:pt>
                <c:pt idx="5">
                  <c:v>24500</c:v>
                </c:pt>
                <c:pt idx="6">
                  <c:v>28000</c:v>
                </c:pt>
              </c:numCache>
            </c:numRef>
          </c:xVal>
          <c:yVal>
            <c:numRef>
              <c:f>'beam axis'!$C$27:$C$33</c:f>
              <c:numCache>
                <c:formatCode>0.00</c:formatCode>
                <c:ptCount val="7"/>
                <c:pt idx="0">
                  <c:v>22.359877559829883</c:v>
                </c:pt>
                <c:pt idx="1">
                  <c:v>33.887346949787357</c:v>
                </c:pt>
                <c:pt idx="2">
                  <c:v>42.289816339744824</c:v>
                </c:pt>
                <c:pt idx="3">
                  <c:v>48.247779607693786</c:v>
                </c:pt>
                <c:pt idx="4">
                  <c:v>49.705742875642756</c:v>
                </c:pt>
                <c:pt idx="5">
                  <c:v>45.719200021583205</c:v>
                </c:pt>
                <c:pt idx="6">
                  <c:v>35.607657167523669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'beam axis'!$A$35</c:f>
              <c:strCache>
                <c:ptCount val="1"/>
                <c:pt idx="0">
                  <c:v>expansion after the bunker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'beam axis'!$B$37:$B$38</c:f>
              <c:numCache>
                <c:formatCode>0.00</c:formatCode>
                <c:ptCount val="2"/>
                <c:pt idx="0">
                  <c:v>28000</c:v>
                </c:pt>
                <c:pt idx="1">
                  <c:v>38000</c:v>
                </c:pt>
              </c:numCache>
            </c:numRef>
          </c:xVal>
          <c:yVal>
            <c:numRef>
              <c:f>'beam axis'!$C$37:$C$38</c:f>
              <c:numCache>
                <c:formatCode>0.00</c:formatCode>
                <c:ptCount val="2"/>
                <c:pt idx="0">
                  <c:v>35.607657167523669</c:v>
                </c:pt>
                <c:pt idx="1">
                  <c:v>-2.0324652726464407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'beam axis'!$A$40</c:f>
              <c:strCache>
                <c:ptCount val="1"/>
                <c:pt idx="0">
                  <c:v>curved guide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'beam axis'!$B$42:$B$53</c:f>
              <c:numCache>
                <c:formatCode>0.00</c:formatCode>
                <c:ptCount val="12"/>
                <c:pt idx="0">
                  <c:v>38000</c:v>
                </c:pt>
                <c:pt idx="1">
                  <c:v>40000</c:v>
                </c:pt>
                <c:pt idx="2">
                  <c:v>50000</c:v>
                </c:pt>
                <c:pt idx="3">
                  <c:v>60000</c:v>
                </c:pt>
                <c:pt idx="4">
                  <c:v>70000</c:v>
                </c:pt>
                <c:pt idx="5">
                  <c:v>80000</c:v>
                </c:pt>
                <c:pt idx="6">
                  <c:v>90000</c:v>
                </c:pt>
                <c:pt idx="7">
                  <c:v>100000</c:v>
                </c:pt>
                <c:pt idx="8">
                  <c:v>110000</c:v>
                </c:pt>
                <c:pt idx="9">
                  <c:v>120000</c:v>
                </c:pt>
                <c:pt idx="10">
                  <c:v>130000</c:v>
                </c:pt>
                <c:pt idx="11">
                  <c:v>143500</c:v>
                </c:pt>
              </c:numCache>
            </c:numRef>
          </c:xVal>
          <c:yVal>
            <c:numRef>
              <c:f>'beam axis'!$C$42:$C$53</c:f>
              <c:numCache>
                <c:formatCode>0.00</c:formatCode>
                <c:ptCount val="12"/>
                <c:pt idx="0">
                  <c:v>-2.0324652726464407</c:v>
                </c:pt>
                <c:pt idx="1">
                  <c:v>-9.4604897606804634</c:v>
                </c:pt>
                <c:pt idx="2">
                  <c:v>-43.600612200850577</c:v>
                </c:pt>
                <c:pt idx="3">
                  <c:v>-72.74073464102068</c:v>
                </c:pt>
                <c:pt idx="4">
                  <c:v>-96.880857081190811</c:v>
                </c:pt>
                <c:pt idx="5">
                  <c:v>-116.02097952136091</c:v>
                </c:pt>
                <c:pt idx="6">
                  <c:v>-130.16110196153102</c:v>
                </c:pt>
                <c:pt idx="7">
                  <c:v>-139.30122440170112</c:v>
                </c:pt>
                <c:pt idx="8">
                  <c:v>-143.44134684187122</c:v>
                </c:pt>
                <c:pt idx="9">
                  <c:v>-142.58146928204133</c:v>
                </c:pt>
                <c:pt idx="10">
                  <c:v>-136.72159172221143</c:v>
                </c:pt>
                <c:pt idx="11">
                  <c:v>-120.8795070164411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'beam axis'!$A$55</c:f>
              <c:strCache>
                <c:ptCount val="1"/>
                <c:pt idx="0">
                  <c:v>focusing guide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'beam axis'!$B$57:$B$59</c:f>
              <c:numCache>
                <c:formatCode>0.00</c:formatCode>
                <c:ptCount val="3"/>
                <c:pt idx="0">
                  <c:v>143500</c:v>
                </c:pt>
                <c:pt idx="1">
                  <c:v>153500</c:v>
                </c:pt>
                <c:pt idx="2">
                  <c:v>157000</c:v>
                </c:pt>
              </c:numCache>
            </c:numRef>
          </c:xVal>
          <c:yVal>
            <c:numRef>
              <c:f>'beam axis'!$C$57:$C$59</c:f>
              <c:numCache>
                <c:formatCode>0.00</c:formatCode>
                <c:ptCount val="3"/>
                <c:pt idx="0">
                  <c:v>-120.8795070164411</c:v>
                </c:pt>
                <c:pt idx="1">
                  <c:v>-105.7696294566112</c:v>
                </c:pt>
                <c:pt idx="2">
                  <c:v>-100.48117231067074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381600"/>
        <c:axId val="297385912"/>
      </c:scatterChart>
      <c:valAx>
        <c:axId val="297381600"/>
        <c:scaling>
          <c:orientation val="minMax"/>
          <c:max val="17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385912"/>
        <c:crosses val="autoZero"/>
        <c:crossBetween val="midCat"/>
      </c:valAx>
      <c:valAx>
        <c:axId val="29738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738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71436</xdr:rowOff>
    </xdr:from>
    <xdr:to>
      <xdr:col>17</xdr:col>
      <xdr:colOff>161925</xdr:colOff>
      <xdr:row>29</xdr:row>
      <xdr:rowOff>95249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topLeftCell="A73" workbookViewId="0">
      <selection activeCell="S77" sqref="S77"/>
    </sheetView>
  </sheetViews>
  <sheetFormatPr defaultRowHeight="15" x14ac:dyDescent="0.25"/>
  <cols>
    <col min="1" max="1" width="8.7109375" style="68" customWidth="1"/>
    <col min="2" max="2" width="9" style="1" customWidth="1"/>
    <col min="3" max="3" width="32.42578125" style="1" customWidth="1"/>
    <col min="4" max="5" width="8.7109375" customWidth="1"/>
    <col min="6" max="7" width="8.42578125" customWidth="1"/>
    <col min="8" max="8" width="39.28515625" style="3" customWidth="1"/>
    <col min="9" max="9" width="8.7109375" style="4" customWidth="1"/>
    <col min="10" max="10" width="46" style="3" customWidth="1"/>
  </cols>
  <sheetData>
    <row r="1" spans="1:16" x14ac:dyDescent="0.25">
      <c r="A1" s="76"/>
      <c r="B1" s="105" t="s">
        <v>89</v>
      </c>
      <c r="D1" t="s">
        <v>102</v>
      </c>
    </row>
    <row r="2" spans="1:16" x14ac:dyDescent="0.25">
      <c r="A2" s="76"/>
      <c r="B2" s="16" t="s">
        <v>100</v>
      </c>
      <c r="C2" s="19">
        <v>1.3</v>
      </c>
      <c r="D2" s="17" t="s">
        <v>101</v>
      </c>
      <c r="E2" s="18">
        <v>42743</v>
      </c>
      <c r="F2" s="17"/>
    </row>
    <row r="3" spans="1:16" x14ac:dyDescent="0.25">
      <c r="A3" s="76"/>
      <c r="B3" s="33"/>
      <c r="C3" s="34"/>
      <c r="D3" s="35"/>
      <c r="E3" s="35"/>
      <c r="F3" s="35"/>
      <c r="G3" s="35"/>
      <c r="H3" s="79"/>
      <c r="I3" s="80"/>
      <c r="J3" s="36"/>
      <c r="K3" s="37"/>
      <c r="L3" s="87"/>
      <c r="M3" s="87"/>
      <c r="N3" s="88"/>
      <c r="O3" s="88"/>
      <c r="P3" s="22"/>
    </row>
    <row r="4" spans="1:16" x14ac:dyDescent="0.25">
      <c r="A4" s="76"/>
      <c r="B4" s="38"/>
      <c r="C4" s="39" t="s">
        <v>62</v>
      </c>
      <c r="D4" s="20"/>
      <c r="E4" s="20"/>
      <c r="F4" s="20"/>
      <c r="G4" s="20"/>
      <c r="H4" s="23" t="s">
        <v>129</v>
      </c>
      <c r="I4" s="82">
        <v>2026</v>
      </c>
      <c r="J4" s="91" t="s">
        <v>66</v>
      </c>
      <c r="K4" s="92" t="s">
        <v>68</v>
      </c>
      <c r="L4" s="92" t="s">
        <v>130</v>
      </c>
      <c r="M4" s="93" t="s">
        <v>131</v>
      </c>
      <c r="N4" s="92" t="s">
        <v>69</v>
      </c>
      <c r="O4" s="75" t="s">
        <v>70</v>
      </c>
      <c r="P4" s="22"/>
    </row>
    <row r="5" spans="1:16" x14ac:dyDescent="0.25">
      <c r="A5" s="76"/>
      <c r="B5" s="21"/>
      <c r="C5" s="24" t="s">
        <v>105</v>
      </c>
      <c r="D5" s="25">
        <v>158000</v>
      </c>
      <c r="E5" s="22"/>
      <c r="F5" s="22"/>
      <c r="G5" s="22"/>
      <c r="H5" s="23"/>
      <c r="I5" s="81"/>
      <c r="J5" s="59" t="s">
        <v>67</v>
      </c>
      <c r="K5" s="27">
        <v>80</v>
      </c>
      <c r="L5" s="27">
        <v>34.950000000000003</v>
      </c>
      <c r="M5" s="89">
        <f>15000-$I$4</f>
        <v>12974</v>
      </c>
      <c r="N5" s="83">
        <f>M5+$I$4</f>
        <v>15000</v>
      </c>
      <c r="O5" s="90">
        <f>M5/SQRT(1-(L5/K5)^2)</f>
        <v>14423.212268193412</v>
      </c>
      <c r="P5" s="22"/>
    </row>
    <row r="6" spans="1:16" x14ac:dyDescent="0.25">
      <c r="A6" s="76"/>
      <c r="B6" s="21"/>
      <c r="C6" s="24" t="s">
        <v>63</v>
      </c>
      <c r="D6" s="27">
        <v>50</v>
      </c>
      <c r="E6" s="22"/>
      <c r="F6" s="22"/>
      <c r="G6" s="22"/>
      <c r="H6" s="23" t="s">
        <v>75</v>
      </c>
      <c r="I6" s="26">
        <v>2711</v>
      </c>
      <c r="J6" s="59" t="s">
        <v>71</v>
      </c>
      <c r="K6" s="27">
        <v>40</v>
      </c>
      <c r="L6" s="27">
        <v>20</v>
      </c>
      <c r="M6" s="89">
        <v>9670</v>
      </c>
      <c r="N6" s="83">
        <v>39000</v>
      </c>
      <c r="O6" s="90">
        <f>M6/SQRT(1-(L6/K6)^2)</f>
        <v>11165.954206127362</v>
      </c>
      <c r="P6" s="22"/>
    </row>
    <row r="7" spans="1:16" x14ac:dyDescent="0.25">
      <c r="A7" s="76"/>
      <c r="B7" s="21"/>
      <c r="C7" s="24" t="s">
        <v>64</v>
      </c>
      <c r="D7" s="27">
        <v>10</v>
      </c>
      <c r="E7" s="22"/>
      <c r="F7" s="22"/>
      <c r="G7" s="22"/>
      <c r="H7" s="23" t="s">
        <v>76</v>
      </c>
      <c r="I7" s="26">
        <v>500</v>
      </c>
      <c r="J7" s="59" t="s">
        <v>72</v>
      </c>
      <c r="K7" s="27">
        <v>80</v>
      </c>
      <c r="L7" s="27">
        <v>30</v>
      </c>
      <c r="M7" s="89">
        <v>12500</v>
      </c>
      <c r="N7" s="83">
        <f>M7+1000</f>
        <v>13500</v>
      </c>
      <c r="O7" s="90">
        <f>M7/SQRT(1-(L7/K7)^2)</f>
        <v>13483.997249264841</v>
      </c>
      <c r="P7" s="22"/>
    </row>
    <row r="8" spans="1:16" x14ac:dyDescent="0.25">
      <c r="A8" s="76"/>
      <c r="B8" s="21"/>
      <c r="C8" s="24" t="s">
        <v>103</v>
      </c>
      <c r="D8" s="27">
        <v>20</v>
      </c>
      <c r="E8" s="22"/>
      <c r="F8" s="22"/>
      <c r="G8" s="22"/>
      <c r="H8" s="23" t="s">
        <v>132</v>
      </c>
      <c r="I8" s="26">
        <v>300</v>
      </c>
      <c r="J8" s="59"/>
      <c r="K8" s="22"/>
      <c r="L8" s="22"/>
      <c r="M8" s="22"/>
      <c r="N8" s="54"/>
      <c r="O8" s="84"/>
      <c r="P8" s="22"/>
    </row>
    <row r="9" spans="1:16" x14ac:dyDescent="0.25">
      <c r="A9" s="76"/>
      <c r="B9" s="21"/>
      <c r="C9" s="24" t="s">
        <v>104</v>
      </c>
      <c r="D9" s="27">
        <v>30</v>
      </c>
      <c r="E9" s="22"/>
      <c r="F9" s="22"/>
      <c r="G9" s="22"/>
      <c r="H9" s="23" t="s">
        <v>77</v>
      </c>
      <c r="I9" s="26">
        <v>500</v>
      </c>
      <c r="J9" s="59"/>
      <c r="K9" s="22"/>
      <c r="L9" s="22"/>
      <c r="M9" s="22"/>
      <c r="N9" s="54"/>
      <c r="O9" s="84"/>
      <c r="P9" s="22"/>
    </row>
    <row r="10" spans="1:16" x14ac:dyDescent="0.25">
      <c r="A10" s="76"/>
      <c r="B10" s="21"/>
      <c r="C10" s="1" t="s">
        <v>138</v>
      </c>
      <c r="D10" s="94">
        <v>10</v>
      </c>
      <c r="E10" s="22"/>
      <c r="F10" s="22"/>
      <c r="G10" s="22"/>
      <c r="H10" s="3" t="s">
        <v>134</v>
      </c>
      <c r="I10" s="26">
        <v>400</v>
      </c>
      <c r="J10" s="59"/>
      <c r="K10" s="22"/>
      <c r="L10" s="22"/>
      <c r="M10" s="22"/>
      <c r="N10" s="54"/>
      <c r="O10" s="84"/>
      <c r="P10" s="22"/>
    </row>
    <row r="11" spans="1:16" x14ac:dyDescent="0.25">
      <c r="A11" s="76"/>
      <c r="B11" s="21"/>
      <c r="C11" s="24" t="s">
        <v>73</v>
      </c>
      <c r="D11" s="27">
        <v>28000</v>
      </c>
      <c r="E11" s="22"/>
      <c r="F11" s="22"/>
      <c r="G11" s="22"/>
      <c r="H11" s="23" t="s">
        <v>139</v>
      </c>
      <c r="I11" s="26">
        <v>5405</v>
      </c>
      <c r="J11" s="59"/>
      <c r="K11" s="22"/>
      <c r="L11" s="22"/>
      <c r="M11" s="22"/>
      <c r="N11" s="54"/>
      <c r="O11" s="84"/>
      <c r="P11" s="22"/>
    </row>
    <row r="12" spans="1:16" x14ac:dyDescent="0.25">
      <c r="A12" s="76"/>
      <c r="B12" s="21"/>
      <c r="C12" s="24" t="s">
        <v>74</v>
      </c>
      <c r="D12" s="27">
        <v>3500</v>
      </c>
      <c r="E12" s="22"/>
      <c r="F12" s="22"/>
      <c r="G12" s="22"/>
      <c r="H12" s="23" t="s">
        <v>78</v>
      </c>
      <c r="I12" s="26">
        <v>490</v>
      </c>
      <c r="J12" s="59"/>
      <c r="K12" s="22"/>
      <c r="L12" s="22"/>
      <c r="M12" s="22"/>
      <c r="N12" s="54"/>
      <c r="O12" s="84"/>
      <c r="P12" s="22"/>
    </row>
    <row r="13" spans="1:16" x14ac:dyDescent="0.25">
      <c r="A13" s="76"/>
      <c r="B13" s="29"/>
      <c r="C13" s="106" t="s">
        <v>79</v>
      </c>
      <c r="D13" s="107">
        <v>80000</v>
      </c>
      <c r="E13" s="30"/>
      <c r="F13" s="30"/>
      <c r="G13" s="30"/>
      <c r="H13" s="31" t="s">
        <v>90</v>
      </c>
      <c r="I13" s="78">
        <f>SUM(K17:K98)</f>
        <v>17</v>
      </c>
      <c r="J13" s="60"/>
      <c r="K13" s="30"/>
      <c r="L13" s="30"/>
      <c r="M13" s="30"/>
      <c r="N13" s="85"/>
      <c r="O13" s="86"/>
      <c r="P13" s="22"/>
    </row>
    <row r="14" spans="1:16" x14ac:dyDescent="0.25">
      <c r="A14" s="76"/>
      <c r="B14" s="24"/>
      <c r="C14" s="24"/>
      <c r="D14" s="27"/>
      <c r="E14" s="22"/>
      <c r="F14" s="22"/>
      <c r="G14" s="22"/>
      <c r="H14" s="23"/>
      <c r="I14" s="28"/>
      <c r="J14" s="23"/>
      <c r="K14" s="22"/>
      <c r="L14" s="22"/>
      <c r="M14" s="22"/>
    </row>
    <row r="15" spans="1:16" x14ac:dyDescent="0.25">
      <c r="A15" s="76" t="s">
        <v>116</v>
      </c>
      <c r="B15" s="62" t="s">
        <v>10</v>
      </c>
      <c r="C15" s="39" t="s">
        <v>54</v>
      </c>
      <c r="D15" s="63" t="s">
        <v>6</v>
      </c>
      <c r="E15" s="63" t="s">
        <v>57</v>
      </c>
      <c r="F15" s="63" t="s">
        <v>58</v>
      </c>
      <c r="G15" s="63" t="s">
        <v>5</v>
      </c>
      <c r="H15" s="64" t="s">
        <v>7</v>
      </c>
      <c r="I15" s="65" t="s">
        <v>13</v>
      </c>
      <c r="J15" s="61" t="s">
        <v>61</v>
      </c>
      <c r="O15" s="67"/>
    </row>
    <row r="16" spans="1:16" x14ac:dyDescent="0.25">
      <c r="A16" s="76"/>
      <c r="B16" s="112" t="s">
        <v>1</v>
      </c>
      <c r="C16" s="113"/>
      <c r="D16" s="5"/>
      <c r="E16" s="5"/>
      <c r="F16" s="5"/>
      <c r="G16" s="5"/>
      <c r="H16" s="6"/>
      <c r="I16" s="44"/>
      <c r="J16" s="40" t="s">
        <v>198</v>
      </c>
      <c r="K16" t="s">
        <v>91</v>
      </c>
      <c r="M16" s="73"/>
    </row>
    <row r="17" spans="1:13" ht="30" x14ac:dyDescent="0.25">
      <c r="A17" s="76">
        <f>D17</f>
        <v>2026</v>
      </c>
      <c r="B17" s="21" t="s">
        <v>36</v>
      </c>
      <c r="C17" s="97" t="s">
        <v>3</v>
      </c>
      <c r="D17" s="83">
        <f>I4</f>
        <v>2026</v>
      </c>
      <c r="E17" s="46">
        <v>70</v>
      </c>
      <c r="F17" s="47">
        <f t="shared" ref="F17:F22" si="0">$K$5*SQRT(1-($N$5-$D17)^2/$O$5^2)</f>
        <v>34.950000000000017</v>
      </c>
      <c r="G17" s="48"/>
      <c r="H17" s="23" t="s">
        <v>19</v>
      </c>
      <c r="I17" s="28">
        <v>1</v>
      </c>
      <c r="J17" s="49" t="s">
        <v>199</v>
      </c>
      <c r="K17">
        <f>IF(C17="vacuum gap",1,0)</f>
        <v>0</v>
      </c>
    </row>
    <row r="18" spans="1:13" x14ac:dyDescent="0.25">
      <c r="A18" s="76"/>
      <c r="B18" s="21"/>
      <c r="C18" s="97"/>
      <c r="D18" s="50">
        <f>D19-2</f>
        <v>2709</v>
      </c>
      <c r="E18" s="46">
        <v>54</v>
      </c>
      <c r="F18" s="47">
        <f t="shared" si="0"/>
        <v>41.861462497004851</v>
      </c>
      <c r="G18" s="48">
        <f>D18-D17</f>
        <v>683</v>
      </c>
      <c r="H18" s="23"/>
      <c r="I18" s="28"/>
      <c r="J18" s="49"/>
      <c r="K18">
        <f t="shared" ref="K18:K81" si="1">IF(C18="vacuum gap",1,0)</f>
        <v>0</v>
      </c>
    </row>
    <row r="19" spans="1:13" ht="45" x14ac:dyDescent="0.25">
      <c r="A19" s="72">
        <f>D19-D17</f>
        <v>685</v>
      </c>
      <c r="B19" s="21" t="s">
        <v>43</v>
      </c>
      <c r="C19" s="51" t="s">
        <v>0</v>
      </c>
      <c r="D19" s="50">
        <f>$I$6</f>
        <v>2711</v>
      </c>
      <c r="E19" s="46">
        <v>54</v>
      </c>
      <c r="F19" s="47">
        <f t="shared" si="0"/>
        <v>41.879522997876293</v>
      </c>
      <c r="G19" s="48"/>
      <c r="H19" s="23" t="s">
        <v>20</v>
      </c>
      <c r="I19" s="28">
        <v>1</v>
      </c>
      <c r="J19" s="49" t="s">
        <v>218</v>
      </c>
      <c r="K19">
        <f t="shared" si="1"/>
        <v>0</v>
      </c>
    </row>
    <row r="20" spans="1:13" x14ac:dyDescent="0.25">
      <c r="A20" s="76"/>
      <c r="B20" s="21"/>
      <c r="C20" s="51"/>
      <c r="D20" s="50">
        <f>D19+$I$7</f>
        <v>3211</v>
      </c>
      <c r="E20" s="46">
        <v>51</v>
      </c>
      <c r="F20" s="47">
        <f t="shared" si="0"/>
        <v>46.089841435431438</v>
      </c>
      <c r="G20" s="48">
        <f>D20-D19</f>
        <v>500</v>
      </c>
      <c r="H20" s="23"/>
      <c r="I20" s="28"/>
      <c r="J20" s="49"/>
      <c r="K20">
        <f t="shared" si="1"/>
        <v>0</v>
      </c>
    </row>
    <row r="21" spans="1:13" ht="30" x14ac:dyDescent="0.25">
      <c r="A21" s="72">
        <f>D21-D19</f>
        <v>502</v>
      </c>
      <c r="B21" s="21" t="s">
        <v>37</v>
      </c>
      <c r="C21" s="97" t="s">
        <v>3</v>
      </c>
      <c r="D21" s="50">
        <f>D20+2</f>
        <v>3213</v>
      </c>
      <c r="E21" s="46">
        <v>51</v>
      </c>
      <c r="F21" s="47">
        <f t="shared" si="0"/>
        <v>46.105575711597133</v>
      </c>
      <c r="G21" s="48"/>
      <c r="H21" s="23" t="s">
        <v>19</v>
      </c>
      <c r="I21" s="28">
        <v>1</v>
      </c>
      <c r="J21" s="49" t="s">
        <v>217</v>
      </c>
      <c r="K21">
        <f t="shared" si="1"/>
        <v>0</v>
      </c>
      <c r="L21" s="116"/>
      <c r="M21" s="108"/>
    </row>
    <row r="22" spans="1:13" x14ac:dyDescent="0.25">
      <c r="A22" s="76"/>
      <c r="B22" s="21"/>
      <c r="C22" s="97"/>
      <c r="D22" s="22">
        <f>I11-$D$10</f>
        <v>5395</v>
      </c>
      <c r="E22" s="71">
        <f>$E$21+($E$25-$E$21)*(D22-$D$21)/($D$25-$D$21)</f>
        <v>27.423994038748138</v>
      </c>
      <c r="F22" s="47">
        <f t="shared" si="0"/>
        <v>59.680394652871442</v>
      </c>
      <c r="G22" s="48">
        <f>D22-D21</f>
        <v>2182</v>
      </c>
      <c r="H22" s="23"/>
      <c r="I22" s="28"/>
      <c r="J22" s="49"/>
      <c r="K22">
        <f t="shared" si="1"/>
        <v>0</v>
      </c>
      <c r="M22" s="73"/>
    </row>
    <row r="23" spans="1:13" x14ac:dyDescent="0.25">
      <c r="A23" s="76"/>
      <c r="B23" s="21"/>
      <c r="C23" s="10" t="s">
        <v>85</v>
      </c>
      <c r="D23" s="22"/>
      <c r="E23" s="46"/>
      <c r="F23" s="47"/>
      <c r="G23" s="48"/>
      <c r="H23" s="23"/>
      <c r="I23" s="28"/>
      <c r="J23" s="49"/>
      <c r="K23">
        <f t="shared" si="1"/>
        <v>1</v>
      </c>
    </row>
    <row r="24" spans="1:13" x14ac:dyDescent="0.25">
      <c r="A24" s="76"/>
      <c r="B24" s="21" t="s">
        <v>42</v>
      </c>
      <c r="C24" s="97" t="s">
        <v>59</v>
      </c>
      <c r="D24" s="22">
        <f>D22+$D$10</f>
        <v>5405</v>
      </c>
      <c r="E24" s="71">
        <f>$E$21+($E$25-$E$21)*(D24-$D$21)/($D$25-$D$21)</f>
        <v>27.315946348733235</v>
      </c>
      <c r="F24" s="47">
        <f>$K$5*SQRT(1-($N$5-$D24)^2/$O$5^2)</f>
        <v>59.729861653916998</v>
      </c>
      <c r="G24" s="48"/>
      <c r="H24" s="23" t="s">
        <v>60</v>
      </c>
      <c r="I24" s="28">
        <v>1</v>
      </c>
      <c r="J24" s="49" t="s">
        <v>200</v>
      </c>
      <c r="K24">
        <f t="shared" si="1"/>
        <v>0</v>
      </c>
    </row>
    <row r="25" spans="1:13" x14ac:dyDescent="0.25">
      <c r="A25" s="76"/>
      <c r="B25" s="21"/>
      <c r="C25" s="97"/>
      <c r="D25" s="22">
        <f>D28-$G$26</f>
        <v>5897</v>
      </c>
      <c r="E25" s="46">
        <v>22</v>
      </c>
      <c r="F25" s="47">
        <f>$K$5*SQRT(1-($N$5-$D25)^2/$O$5^2)</f>
        <v>62.053813715734243</v>
      </c>
      <c r="G25" s="48">
        <f>D25-D24</f>
        <v>492</v>
      </c>
      <c r="H25" s="23"/>
      <c r="I25" s="28"/>
      <c r="J25" s="49" t="s">
        <v>127</v>
      </c>
      <c r="K25">
        <f t="shared" si="1"/>
        <v>0</v>
      </c>
      <c r="M25" s="109"/>
    </row>
    <row r="26" spans="1:13" x14ac:dyDescent="0.25">
      <c r="A26" s="72"/>
      <c r="C26" s="10" t="s">
        <v>85</v>
      </c>
      <c r="D26" s="22"/>
      <c r="E26" s="46"/>
      <c r="F26" s="47"/>
      <c r="G26" s="95">
        <v>13</v>
      </c>
      <c r="H26" s="23"/>
      <c r="I26" s="28"/>
      <c r="J26" s="49"/>
      <c r="K26">
        <f t="shared" si="1"/>
        <v>1</v>
      </c>
      <c r="M26" s="73"/>
    </row>
    <row r="27" spans="1:13" x14ac:dyDescent="0.25">
      <c r="A27" s="76"/>
      <c r="B27" s="112" t="s">
        <v>2</v>
      </c>
      <c r="C27" s="113"/>
      <c r="D27" s="5"/>
      <c r="E27" s="8"/>
      <c r="F27" s="8"/>
      <c r="G27" s="9"/>
      <c r="H27" s="6"/>
      <c r="I27" s="44"/>
      <c r="J27" s="40"/>
      <c r="K27">
        <f>IF(B27="vacuum gap",1,0)</f>
        <v>0</v>
      </c>
      <c r="M27" s="73"/>
    </row>
    <row r="28" spans="1:13" x14ac:dyDescent="0.25">
      <c r="A28" s="72">
        <f>D28-D21</f>
        <v>2697</v>
      </c>
      <c r="B28" s="21" t="s">
        <v>38</v>
      </c>
      <c r="C28" s="97" t="s">
        <v>3</v>
      </c>
      <c r="D28" s="27">
        <v>5910</v>
      </c>
      <c r="E28" s="46">
        <v>20</v>
      </c>
      <c r="F28" s="47">
        <f>$K$5*SQRT(1-($N$5-$D28)^2/$O$5^2)</f>
        <v>62.112414060116961</v>
      </c>
      <c r="G28" s="48"/>
      <c r="H28" s="23" t="s">
        <v>15</v>
      </c>
      <c r="I28" s="28">
        <v>1</v>
      </c>
      <c r="J28" s="49" t="s">
        <v>94</v>
      </c>
      <c r="K28">
        <f t="shared" si="1"/>
        <v>0</v>
      </c>
    </row>
    <row r="29" spans="1:13" x14ac:dyDescent="0.25">
      <c r="A29" s="76"/>
      <c r="B29" s="21"/>
      <c r="C29" s="97"/>
      <c r="D29" s="22">
        <f>D31-$D$6</f>
        <v>6400</v>
      </c>
      <c r="E29" s="47">
        <f>E28</f>
        <v>20</v>
      </c>
      <c r="F29" s="47">
        <f>$K$5*SQRT(1-($N$5-$D29)^2/$O$5^2)</f>
        <v>64.223247366696242</v>
      </c>
      <c r="G29" s="48">
        <f>D29-D28</f>
        <v>490</v>
      </c>
      <c r="H29" s="23"/>
      <c r="I29" s="28"/>
      <c r="J29" s="49"/>
      <c r="K29">
        <f t="shared" si="1"/>
        <v>0</v>
      </c>
    </row>
    <row r="30" spans="1:13" x14ac:dyDescent="0.25">
      <c r="A30" s="76"/>
      <c r="B30" s="21"/>
      <c r="C30" s="10" t="s">
        <v>85</v>
      </c>
      <c r="D30" s="22"/>
      <c r="E30" s="47"/>
      <c r="F30" s="47"/>
      <c r="G30" s="48">
        <f>D31-D29</f>
        <v>50</v>
      </c>
      <c r="H30" s="23"/>
      <c r="I30" s="28"/>
      <c r="J30" s="49"/>
      <c r="K30">
        <f t="shared" si="1"/>
        <v>1</v>
      </c>
    </row>
    <row r="31" spans="1:13" x14ac:dyDescent="0.25">
      <c r="A31" s="76">
        <f>D31-D28</f>
        <v>540</v>
      </c>
      <c r="B31" s="21" t="s">
        <v>86</v>
      </c>
      <c r="C31" s="52" t="s">
        <v>11</v>
      </c>
      <c r="D31" s="27">
        <v>6450</v>
      </c>
      <c r="E31" s="47">
        <f>E29</f>
        <v>20</v>
      </c>
      <c r="F31" s="47">
        <f>$K$5*SQRT(1-($N$5-$D31)^2/$O$5^2)</f>
        <v>64.42830459499767</v>
      </c>
      <c r="G31" s="48"/>
      <c r="H31" s="23" t="s">
        <v>8</v>
      </c>
      <c r="I31" s="28"/>
      <c r="J31" s="49" t="s">
        <v>96</v>
      </c>
      <c r="K31">
        <f t="shared" si="1"/>
        <v>0</v>
      </c>
    </row>
    <row r="32" spans="1:13" x14ac:dyDescent="0.25">
      <c r="A32" s="76">
        <f>D32-D31</f>
        <v>400</v>
      </c>
      <c r="B32" s="21" t="s">
        <v>87</v>
      </c>
      <c r="C32" s="52" t="s">
        <v>11</v>
      </c>
      <c r="D32" s="27">
        <v>6850</v>
      </c>
      <c r="E32" s="47">
        <f t="shared" ref="E32:E57" si="2">E31</f>
        <v>20</v>
      </c>
      <c r="F32" s="47">
        <f>$K$5*SQRT(1-($N$5-$D32)^2/$O$5^2)</f>
        <v>66.003910416068237</v>
      </c>
      <c r="G32" s="48"/>
      <c r="H32" s="23" t="s">
        <v>8</v>
      </c>
      <c r="I32" s="28"/>
      <c r="J32" s="49" t="s">
        <v>96</v>
      </c>
      <c r="K32">
        <f t="shared" si="1"/>
        <v>0</v>
      </c>
    </row>
    <row r="33" spans="1:11" x14ac:dyDescent="0.25">
      <c r="A33" s="76"/>
      <c r="B33" s="21"/>
      <c r="C33" s="10" t="s">
        <v>85</v>
      </c>
      <c r="D33" s="27"/>
      <c r="E33" s="47"/>
      <c r="F33" s="47"/>
      <c r="G33" s="48">
        <f>D34-D32</f>
        <v>50</v>
      </c>
      <c r="H33" s="23"/>
      <c r="I33" s="28"/>
      <c r="J33" s="49"/>
      <c r="K33">
        <f t="shared" si="1"/>
        <v>1</v>
      </c>
    </row>
    <row r="34" spans="1:11" x14ac:dyDescent="0.25">
      <c r="A34" s="76">
        <f>D34-D32</f>
        <v>50</v>
      </c>
      <c r="B34" s="21" t="s">
        <v>44</v>
      </c>
      <c r="C34" s="97" t="s">
        <v>3</v>
      </c>
      <c r="D34" s="22">
        <f>D32+$D$6</f>
        <v>6900</v>
      </c>
      <c r="E34" s="47">
        <f>E32</f>
        <v>20</v>
      </c>
      <c r="F34" s="47">
        <f>$K$5*SQRT(1-($N$5-$D34)^2/$O$5^2)</f>
        <v>66.19299584440229</v>
      </c>
      <c r="G34" s="48"/>
      <c r="H34" s="23" t="s">
        <v>15</v>
      </c>
      <c r="I34" s="28">
        <v>1</v>
      </c>
      <c r="J34" s="49" t="s">
        <v>128</v>
      </c>
      <c r="K34">
        <f t="shared" si="1"/>
        <v>0</v>
      </c>
    </row>
    <row r="35" spans="1:11" x14ac:dyDescent="0.25">
      <c r="A35" s="76"/>
      <c r="B35" s="21"/>
      <c r="C35" s="97"/>
      <c r="D35" s="22">
        <f>D37-$D$6</f>
        <v>7325</v>
      </c>
      <c r="E35" s="47">
        <f t="shared" si="2"/>
        <v>20</v>
      </c>
      <c r="F35" s="47">
        <f>$K$5*SQRT(1-($N$5-$D35)^2/$O$5^2)</f>
        <v>67.733096425181714</v>
      </c>
      <c r="G35" s="48">
        <f>D35-D34</f>
        <v>425</v>
      </c>
      <c r="H35" s="23"/>
      <c r="I35" s="28"/>
      <c r="J35" s="49"/>
      <c r="K35">
        <f t="shared" si="1"/>
        <v>0</v>
      </c>
    </row>
    <row r="36" spans="1:11" x14ac:dyDescent="0.25">
      <c r="A36" s="76"/>
      <c r="B36" s="21"/>
      <c r="C36" s="10" t="s">
        <v>85</v>
      </c>
      <c r="D36" s="22"/>
      <c r="E36" s="47"/>
      <c r="F36" s="47"/>
      <c r="G36" s="48">
        <f>D37-D35</f>
        <v>50</v>
      </c>
      <c r="H36" s="23"/>
      <c r="I36" s="28"/>
      <c r="J36" s="49"/>
      <c r="K36">
        <f t="shared" si="1"/>
        <v>1</v>
      </c>
    </row>
    <row r="37" spans="1:11" x14ac:dyDescent="0.25">
      <c r="A37" s="76">
        <f>D37-D34</f>
        <v>475</v>
      </c>
      <c r="B37" s="21" t="s">
        <v>201</v>
      </c>
      <c r="C37" s="52" t="s">
        <v>11</v>
      </c>
      <c r="D37" s="27">
        <v>7375</v>
      </c>
      <c r="E37" s="47">
        <f>E35</f>
        <v>20</v>
      </c>
      <c r="F37" s="47">
        <f>$K$5*SQRT(1-($N$5-$D37)^2/$O$5^2)</f>
        <v>67.906608850951514</v>
      </c>
      <c r="G37" s="48"/>
      <c r="H37" s="23" t="s">
        <v>8</v>
      </c>
      <c r="I37" s="28"/>
      <c r="J37" s="49" t="s">
        <v>96</v>
      </c>
      <c r="K37">
        <f t="shared" si="1"/>
        <v>0</v>
      </c>
    </row>
    <row r="38" spans="1:11" x14ac:dyDescent="0.25">
      <c r="A38" s="76"/>
      <c r="B38" s="21"/>
      <c r="C38" s="10" t="s">
        <v>85</v>
      </c>
      <c r="D38" s="27"/>
      <c r="E38" s="47"/>
      <c r="F38" s="47"/>
      <c r="G38" s="48">
        <f>D39-D37</f>
        <v>50</v>
      </c>
      <c r="H38" s="23"/>
      <c r="I38" s="28"/>
      <c r="J38" s="49"/>
      <c r="K38">
        <f t="shared" si="1"/>
        <v>1</v>
      </c>
    </row>
    <row r="39" spans="1:11" x14ac:dyDescent="0.25">
      <c r="A39" s="76">
        <f>D39-D37</f>
        <v>50</v>
      </c>
      <c r="B39" s="21" t="s">
        <v>45</v>
      </c>
      <c r="C39" s="97" t="s">
        <v>3</v>
      </c>
      <c r="D39" s="22">
        <f>D37+$D$6</f>
        <v>7425</v>
      </c>
      <c r="E39" s="47">
        <f>E37</f>
        <v>20</v>
      </c>
      <c r="F39" s="47">
        <f>$K$5*SQRT(1-($N$5-$D39)^2/$O$5^2)</f>
        <v>68.078549303438479</v>
      </c>
      <c r="G39" s="48"/>
      <c r="H39" s="23" t="s">
        <v>15</v>
      </c>
      <c r="I39" s="28">
        <v>1</v>
      </c>
      <c r="J39" s="49" t="s">
        <v>128</v>
      </c>
      <c r="K39">
        <f t="shared" si="1"/>
        <v>0</v>
      </c>
    </row>
    <row r="40" spans="1:11" x14ac:dyDescent="0.25">
      <c r="A40" s="76"/>
      <c r="B40" s="21"/>
      <c r="C40" s="97"/>
      <c r="D40" s="22">
        <f>D42-$D$6</f>
        <v>8225</v>
      </c>
      <c r="E40" s="47">
        <f t="shared" si="2"/>
        <v>20</v>
      </c>
      <c r="F40" s="47">
        <f>$K$5*SQRT(1-($N$5-$D40)^2/$O$5^2)</f>
        <v>70.624856207476384</v>
      </c>
      <c r="G40" s="48">
        <f>D40-D39</f>
        <v>800</v>
      </c>
      <c r="H40" s="23"/>
      <c r="I40" s="28"/>
      <c r="J40" s="49"/>
      <c r="K40">
        <f t="shared" si="1"/>
        <v>0</v>
      </c>
    </row>
    <row r="41" spans="1:11" x14ac:dyDescent="0.25">
      <c r="A41" s="76"/>
      <c r="B41" s="21"/>
      <c r="C41" s="10" t="s">
        <v>85</v>
      </c>
      <c r="D41" s="22"/>
      <c r="E41" s="47"/>
      <c r="F41" s="47"/>
      <c r="G41" s="48">
        <f>D42-D40</f>
        <v>50</v>
      </c>
      <c r="H41" s="23"/>
      <c r="I41" s="28"/>
      <c r="J41" s="49"/>
      <c r="K41">
        <f t="shared" si="1"/>
        <v>1</v>
      </c>
    </row>
    <row r="42" spans="1:11" x14ac:dyDescent="0.25">
      <c r="A42" s="76">
        <f>D42-D39</f>
        <v>850</v>
      </c>
      <c r="B42" s="21" t="s">
        <v>88</v>
      </c>
      <c r="C42" s="52" t="s">
        <v>12</v>
      </c>
      <c r="D42" s="27">
        <v>8275</v>
      </c>
      <c r="E42" s="47">
        <f>E40</f>
        <v>20</v>
      </c>
      <c r="F42" s="47">
        <f>$K$5*SQRT(1-($N$5-$D42)^2/$O$5^2)</f>
        <v>70.771722068813531</v>
      </c>
      <c r="G42" s="48"/>
      <c r="H42" s="23" t="s">
        <v>4</v>
      </c>
      <c r="I42" s="28"/>
      <c r="J42" s="49" t="s">
        <v>117</v>
      </c>
      <c r="K42">
        <f t="shared" si="1"/>
        <v>0</v>
      </c>
    </row>
    <row r="43" spans="1:11" x14ac:dyDescent="0.25">
      <c r="A43" s="76">
        <f>D43-D42</f>
        <v>50</v>
      </c>
      <c r="B43" s="21" t="s">
        <v>202</v>
      </c>
      <c r="C43" s="52" t="s">
        <v>12</v>
      </c>
      <c r="D43" s="27">
        <v>8325</v>
      </c>
      <c r="E43" s="47">
        <f t="shared" si="2"/>
        <v>20</v>
      </c>
      <c r="F43" s="47">
        <f>$K$5*SQRT(1-($N$5-$D43)^2/$O$5^2)</f>
        <v>70.917199255014836</v>
      </c>
      <c r="G43" s="48"/>
      <c r="H43" s="23" t="s">
        <v>4</v>
      </c>
      <c r="I43" s="28"/>
      <c r="J43" s="49" t="s">
        <v>97</v>
      </c>
      <c r="K43">
        <f t="shared" si="1"/>
        <v>0</v>
      </c>
    </row>
    <row r="44" spans="1:11" x14ac:dyDescent="0.25">
      <c r="A44" s="76"/>
      <c r="B44" s="21"/>
      <c r="C44" s="10" t="s">
        <v>85</v>
      </c>
      <c r="D44" s="27"/>
      <c r="E44" s="47"/>
      <c r="F44" s="47"/>
      <c r="G44" s="48">
        <f>D45-D43</f>
        <v>50</v>
      </c>
      <c r="H44" s="23"/>
      <c r="I44" s="28"/>
      <c r="J44" s="49"/>
      <c r="K44">
        <f t="shared" si="1"/>
        <v>1</v>
      </c>
    </row>
    <row r="45" spans="1:11" x14ac:dyDescent="0.25">
      <c r="A45" s="76">
        <f>D45-D43</f>
        <v>50</v>
      </c>
      <c r="B45" s="21" t="s">
        <v>46</v>
      </c>
      <c r="C45" s="97" t="s">
        <v>3</v>
      </c>
      <c r="D45" s="22">
        <f>D43+$D$6</f>
        <v>8375</v>
      </c>
      <c r="E45" s="47">
        <f>E43</f>
        <v>20</v>
      </c>
      <c r="F45" s="47">
        <f>$K$5*SQRT(1-($N$5-$D45)^2/$O$5^2)</f>
        <v>71.061296294797373</v>
      </c>
      <c r="G45" s="48"/>
      <c r="H45" s="23" t="s">
        <v>15</v>
      </c>
      <c r="I45" s="28">
        <v>1</v>
      </c>
      <c r="J45" s="49" t="s">
        <v>128</v>
      </c>
      <c r="K45">
        <f t="shared" si="1"/>
        <v>0</v>
      </c>
    </row>
    <row r="46" spans="1:11" x14ac:dyDescent="0.25">
      <c r="A46" s="76"/>
      <c r="B46" s="21"/>
      <c r="C46" s="97"/>
      <c r="D46" s="22">
        <f>D48-$D$6</f>
        <v>9250</v>
      </c>
      <c r="E46" s="47">
        <f t="shared" si="2"/>
        <v>20</v>
      </c>
      <c r="F46" s="47">
        <f>$K$5*SQRT(1-($N$5-$D46)^2/$O$5^2)</f>
        <v>73.367802059190225</v>
      </c>
      <c r="G46" s="48">
        <f>D46-D45</f>
        <v>875</v>
      </c>
      <c r="H46" s="23"/>
      <c r="I46" s="28"/>
      <c r="J46" s="49"/>
      <c r="K46">
        <f t="shared" si="1"/>
        <v>0</v>
      </c>
    </row>
    <row r="47" spans="1:11" x14ac:dyDescent="0.25">
      <c r="A47" s="76"/>
      <c r="B47" s="21"/>
      <c r="C47" s="10" t="s">
        <v>85</v>
      </c>
      <c r="D47" s="22"/>
      <c r="E47" s="47"/>
      <c r="F47" s="47"/>
      <c r="G47" s="48"/>
      <c r="H47" s="23"/>
      <c r="I47" s="28"/>
      <c r="J47" s="49"/>
      <c r="K47">
        <f t="shared" si="1"/>
        <v>1</v>
      </c>
    </row>
    <row r="48" spans="1:11" x14ac:dyDescent="0.25">
      <c r="A48" s="76">
        <f>D48-D45</f>
        <v>925</v>
      </c>
      <c r="B48" s="21" t="s">
        <v>92</v>
      </c>
      <c r="C48" s="52" t="s">
        <v>11</v>
      </c>
      <c r="D48" s="27">
        <v>9300</v>
      </c>
      <c r="E48" s="47">
        <f>E46</f>
        <v>20</v>
      </c>
      <c r="F48" s="47">
        <f>$K$5*SQRT(1-($N$5-$D48)^2/$O$5^2)</f>
        <v>73.487735735626273</v>
      </c>
      <c r="G48" s="48"/>
      <c r="H48" s="23" t="s">
        <v>9</v>
      </c>
      <c r="I48" s="28"/>
      <c r="J48" s="49" t="s">
        <v>98</v>
      </c>
      <c r="K48">
        <f t="shared" si="1"/>
        <v>0</v>
      </c>
    </row>
    <row r="49" spans="1:13" x14ac:dyDescent="0.25">
      <c r="A49" s="76">
        <f>D49-D48</f>
        <v>50</v>
      </c>
      <c r="B49" s="21" t="s">
        <v>203</v>
      </c>
      <c r="C49" s="52" t="s">
        <v>11</v>
      </c>
      <c r="D49" s="27">
        <v>9350</v>
      </c>
      <c r="E49" s="47">
        <f t="shared" si="2"/>
        <v>20</v>
      </c>
      <c r="F49" s="47">
        <f>$K$5*SQRT(1-($N$5-$D49)^2/$O$5^2)</f>
        <v>73.60642909035451</v>
      </c>
      <c r="G49" s="48"/>
      <c r="H49" s="23" t="s">
        <v>9</v>
      </c>
      <c r="I49" s="28"/>
      <c r="J49" s="49" t="s">
        <v>99</v>
      </c>
      <c r="K49">
        <f t="shared" si="1"/>
        <v>0</v>
      </c>
    </row>
    <row r="50" spans="1:13" x14ac:dyDescent="0.25">
      <c r="A50" s="76"/>
      <c r="B50" s="21"/>
      <c r="C50" s="10" t="s">
        <v>85</v>
      </c>
      <c r="D50" s="27"/>
      <c r="E50" s="47"/>
      <c r="F50" s="47"/>
      <c r="G50" s="48">
        <f>D51-D49</f>
        <v>50</v>
      </c>
      <c r="H50" s="23"/>
      <c r="I50" s="28"/>
      <c r="J50" s="49"/>
      <c r="K50">
        <f t="shared" si="1"/>
        <v>1</v>
      </c>
    </row>
    <row r="51" spans="1:13" x14ac:dyDescent="0.25">
      <c r="A51" s="76">
        <f>D51-D49</f>
        <v>50</v>
      </c>
      <c r="B51" s="21" t="s">
        <v>47</v>
      </c>
      <c r="C51" s="97" t="s">
        <v>3</v>
      </c>
      <c r="D51" s="22">
        <f>D49+$D$6</f>
        <v>9400</v>
      </c>
      <c r="E51" s="47">
        <f>E49</f>
        <v>20</v>
      </c>
      <c r="F51" s="47">
        <f>$K$5*SQRT(1-($N$5-$D51)^2/$O$5^2)</f>
        <v>73.723888114022756</v>
      </c>
      <c r="G51" s="48"/>
      <c r="H51" s="23" t="s">
        <v>15</v>
      </c>
      <c r="I51" s="28">
        <v>1</v>
      </c>
      <c r="J51" s="49" t="s">
        <v>128</v>
      </c>
      <c r="K51">
        <f t="shared" si="1"/>
        <v>0</v>
      </c>
    </row>
    <row r="52" spans="1:13" x14ac:dyDescent="0.25">
      <c r="A52" s="76"/>
      <c r="B52" s="21"/>
      <c r="C52" s="97"/>
      <c r="D52" s="22">
        <f>D54-$D$6</f>
        <v>9825</v>
      </c>
      <c r="E52" s="47">
        <f t="shared" si="2"/>
        <v>20</v>
      </c>
      <c r="F52" s="47">
        <f>$K$5*SQRT(1-($N$5-$D52)^2/$O$5^2)</f>
        <v>74.673260588963032</v>
      </c>
      <c r="G52" s="48">
        <f>D52-D51</f>
        <v>425</v>
      </c>
      <c r="H52" s="23"/>
      <c r="I52" s="28"/>
      <c r="J52" s="49"/>
      <c r="K52">
        <f t="shared" si="1"/>
        <v>0</v>
      </c>
    </row>
    <row r="53" spans="1:13" x14ac:dyDescent="0.25">
      <c r="A53" s="76"/>
      <c r="B53" s="21"/>
      <c r="C53" s="10" t="s">
        <v>85</v>
      </c>
      <c r="D53" s="22"/>
      <c r="E53" s="47"/>
      <c r="F53" s="47"/>
      <c r="G53" s="48">
        <f>D54-D52</f>
        <v>50</v>
      </c>
      <c r="H53" s="23"/>
      <c r="I53" s="28"/>
      <c r="J53" s="49"/>
      <c r="K53">
        <f t="shared" si="1"/>
        <v>1</v>
      </c>
    </row>
    <row r="54" spans="1:13" x14ac:dyDescent="0.25">
      <c r="A54" s="76">
        <f>D54-D51</f>
        <v>475</v>
      </c>
      <c r="B54" s="21" t="s">
        <v>204</v>
      </c>
      <c r="C54" s="52" t="s">
        <v>12</v>
      </c>
      <c r="D54" s="27">
        <v>9875</v>
      </c>
      <c r="E54" s="47">
        <f>E52</f>
        <v>20</v>
      </c>
      <c r="F54" s="47">
        <f>$K$5*SQRT(1-($N$5-$D54)^2/$O$5^2)</f>
        <v>74.779273785262205</v>
      </c>
      <c r="G54" s="48"/>
      <c r="H54" s="23" t="s">
        <v>9</v>
      </c>
      <c r="I54" s="28"/>
      <c r="J54" s="49" t="s">
        <v>113</v>
      </c>
      <c r="K54">
        <f t="shared" si="1"/>
        <v>0</v>
      </c>
    </row>
    <row r="55" spans="1:13" x14ac:dyDescent="0.25">
      <c r="A55" s="76"/>
      <c r="B55" s="21"/>
      <c r="C55" s="10" t="s">
        <v>85</v>
      </c>
      <c r="D55" s="27"/>
      <c r="E55" s="47"/>
      <c r="F55" s="47"/>
      <c r="G55" s="48">
        <f>D56-D54</f>
        <v>50</v>
      </c>
      <c r="H55" s="23"/>
      <c r="I55" s="28"/>
      <c r="J55" s="49"/>
      <c r="K55">
        <f t="shared" si="1"/>
        <v>1</v>
      </c>
    </row>
    <row r="56" spans="1:13" x14ac:dyDescent="0.25">
      <c r="A56" s="76">
        <f>D56-D54</f>
        <v>50</v>
      </c>
      <c r="B56" s="21" t="s">
        <v>48</v>
      </c>
      <c r="C56" s="97" t="s">
        <v>3</v>
      </c>
      <c r="D56" s="22">
        <f>D54+$D$6</f>
        <v>9925</v>
      </c>
      <c r="E56" s="47">
        <f>E54</f>
        <v>20</v>
      </c>
      <c r="F56" s="47">
        <f>$K$5*SQRT(1-($N$5-$D56)^2/$O$5^2)</f>
        <v>74.884109823424126</v>
      </c>
      <c r="G56" s="48"/>
      <c r="H56" s="23" t="s">
        <v>15</v>
      </c>
      <c r="I56" s="28">
        <v>1</v>
      </c>
      <c r="J56" s="49" t="s">
        <v>128</v>
      </c>
      <c r="K56">
        <f t="shared" si="1"/>
        <v>0</v>
      </c>
    </row>
    <row r="57" spans="1:13" x14ac:dyDescent="0.25">
      <c r="A57" s="76"/>
      <c r="B57" s="21"/>
      <c r="C57" s="97"/>
      <c r="D57" s="25">
        <v>10000</v>
      </c>
      <c r="E57" s="47">
        <f t="shared" si="2"/>
        <v>20</v>
      </c>
      <c r="F57" s="47">
        <f>$K$5*SQRT(1-($N$5-$D57)^2/$O$5^2)</f>
        <v>75.039167486628031</v>
      </c>
      <c r="G57" s="48">
        <f>D57-D56</f>
        <v>75</v>
      </c>
      <c r="H57" s="23" t="s">
        <v>65</v>
      </c>
      <c r="I57" s="28"/>
      <c r="J57" s="49"/>
      <c r="K57">
        <f t="shared" si="1"/>
        <v>0</v>
      </c>
    </row>
    <row r="58" spans="1:13" x14ac:dyDescent="0.25">
      <c r="A58" s="76"/>
      <c r="B58" s="112" t="s">
        <v>14</v>
      </c>
      <c r="C58" s="113"/>
      <c r="D58" s="5"/>
      <c r="E58" s="8"/>
      <c r="F58" s="8"/>
      <c r="G58" s="9"/>
      <c r="H58" s="6"/>
      <c r="I58" s="44"/>
      <c r="J58" s="40" t="s">
        <v>84</v>
      </c>
      <c r="K58">
        <f>IF(B58="vacuum gap",1,0)</f>
        <v>0</v>
      </c>
      <c r="M58" s="73"/>
    </row>
    <row r="59" spans="1:13" ht="18.75" customHeight="1" x14ac:dyDescent="0.25">
      <c r="A59" s="76">
        <f>D59-D56</f>
        <v>75</v>
      </c>
      <c r="B59" s="21" t="s">
        <v>39</v>
      </c>
      <c r="C59" s="97" t="s">
        <v>120</v>
      </c>
      <c r="D59" s="22">
        <f>D57</f>
        <v>10000</v>
      </c>
      <c r="E59" s="47">
        <f>E57</f>
        <v>20</v>
      </c>
      <c r="F59" s="47">
        <f>$K$5*SQRT(1-($N$5-$D59)^2/$O$5^2)</f>
        <v>75.039167486628031</v>
      </c>
      <c r="H59" s="23" t="s">
        <v>121</v>
      </c>
      <c r="I59" s="28">
        <v>1</v>
      </c>
      <c r="J59" s="49" t="s">
        <v>205</v>
      </c>
      <c r="K59">
        <f t="shared" si="1"/>
        <v>0</v>
      </c>
      <c r="L59" s="47"/>
    </row>
    <row r="60" spans="1:13" ht="18.75" customHeight="1" x14ac:dyDescent="0.25">
      <c r="A60" s="76"/>
      <c r="B60" s="21"/>
      <c r="C60" s="97"/>
      <c r="D60" s="22">
        <f>$N$5-1</f>
        <v>14999</v>
      </c>
      <c r="E60" s="47">
        <f>E59</f>
        <v>20</v>
      </c>
      <c r="F60" s="47">
        <f>$K$5*SQRT(1-($N$5-$D60)^2/$O$5^2)</f>
        <v>79.999999807719163</v>
      </c>
      <c r="G60" s="48">
        <f>D60-D59</f>
        <v>4999</v>
      </c>
      <c r="H60" s="23"/>
      <c r="I60" s="28"/>
      <c r="J60" s="49"/>
      <c r="K60">
        <f t="shared" si="1"/>
        <v>0</v>
      </c>
    </row>
    <row r="61" spans="1:13" ht="18.75" customHeight="1" x14ac:dyDescent="0.25">
      <c r="A61" s="76">
        <f>D61-D59</f>
        <v>5000</v>
      </c>
      <c r="B61" s="21" t="s">
        <v>124</v>
      </c>
      <c r="C61" s="45" t="s">
        <v>119</v>
      </c>
      <c r="D61" s="22">
        <f>$N$5</f>
        <v>15000</v>
      </c>
      <c r="E61" s="47">
        <f t="shared" ref="E61:E64" si="3">E60</f>
        <v>20</v>
      </c>
      <c r="F61" s="47">
        <f>$K$5</f>
        <v>80</v>
      </c>
      <c r="G61" s="48"/>
      <c r="H61" s="23" t="s">
        <v>18</v>
      </c>
      <c r="I61" s="28"/>
      <c r="J61" s="49" t="s">
        <v>206</v>
      </c>
      <c r="K61">
        <f t="shared" si="1"/>
        <v>0</v>
      </c>
    </row>
    <row r="62" spans="1:13" ht="18.75" customHeight="1" x14ac:dyDescent="0.25">
      <c r="A62" s="76"/>
      <c r="B62" s="21"/>
      <c r="C62" s="45"/>
      <c r="D62" s="22">
        <f>$D$11-$D$12-$D$8/2</f>
        <v>24490</v>
      </c>
      <c r="E62" s="47">
        <f t="shared" si="3"/>
        <v>20</v>
      </c>
      <c r="F62" s="47">
        <f>F61</f>
        <v>80</v>
      </c>
      <c r="G62" s="48">
        <f>D62-D61</f>
        <v>9490</v>
      </c>
      <c r="H62" s="23"/>
      <c r="I62" s="28"/>
      <c r="J62" s="49"/>
      <c r="K62">
        <f t="shared" si="1"/>
        <v>0</v>
      </c>
    </row>
    <row r="63" spans="1:13" ht="18.75" customHeight="1" x14ac:dyDescent="0.25">
      <c r="A63" s="76"/>
      <c r="B63" s="21" t="s">
        <v>125</v>
      </c>
      <c r="C63" s="45" t="s">
        <v>123</v>
      </c>
      <c r="D63" s="22">
        <f>$D$11-$D$12+$D$8/2</f>
        <v>24510</v>
      </c>
      <c r="E63" s="47">
        <f t="shared" si="3"/>
        <v>20</v>
      </c>
      <c r="F63" s="47">
        <f>F62</f>
        <v>80</v>
      </c>
      <c r="G63" s="48"/>
      <c r="H63" s="23" t="s">
        <v>18</v>
      </c>
      <c r="I63" s="28"/>
      <c r="J63" s="49" t="s">
        <v>206</v>
      </c>
      <c r="K63">
        <f t="shared" si="1"/>
        <v>0</v>
      </c>
    </row>
    <row r="64" spans="1:13" ht="18.75" customHeight="1" x14ac:dyDescent="0.25">
      <c r="A64" s="76"/>
      <c r="B64" s="21"/>
      <c r="C64" s="45"/>
      <c r="D64" s="22">
        <f>$D$11-$D$8/2</f>
        <v>27990</v>
      </c>
      <c r="E64" s="47">
        <f t="shared" si="3"/>
        <v>20</v>
      </c>
      <c r="F64" s="47">
        <f>F63</f>
        <v>80</v>
      </c>
      <c r="G64" s="48">
        <f>D64-D63</f>
        <v>3480</v>
      </c>
      <c r="H64" s="23"/>
      <c r="I64" s="28"/>
      <c r="J64" s="49"/>
      <c r="K64">
        <f t="shared" si="1"/>
        <v>0</v>
      </c>
    </row>
    <row r="65" spans="1:11" ht="18.75" customHeight="1" x14ac:dyDescent="0.25">
      <c r="A65" s="76"/>
      <c r="B65" s="112" t="s">
        <v>17</v>
      </c>
      <c r="C65" s="113"/>
      <c r="D65" s="5"/>
      <c r="E65" s="8"/>
      <c r="F65" s="8"/>
      <c r="G65" s="9"/>
      <c r="H65" s="6"/>
      <c r="I65" s="44"/>
      <c r="J65" s="40"/>
      <c r="K65">
        <f t="shared" ref="K65" si="4">IF(B65="vacuum gap",1,0)</f>
        <v>0</v>
      </c>
    </row>
    <row r="66" spans="1:11" ht="18.75" customHeight="1" x14ac:dyDescent="0.25">
      <c r="A66" s="76">
        <f>D66-D61</f>
        <v>13010</v>
      </c>
      <c r="B66" s="21" t="s">
        <v>207</v>
      </c>
      <c r="C66" s="45" t="s">
        <v>137</v>
      </c>
      <c r="D66" s="22">
        <f>D64+$D$8</f>
        <v>28010</v>
      </c>
      <c r="E66" s="47">
        <f>E61</f>
        <v>20</v>
      </c>
      <c r="F66" s="47">
        <f>F61</f>
        <v>80</v>
      </c>
      <c r="G66" s="48"/>
      <c r="H66" s="23" t="s">
        <v>133</v>
      </c>
      <c r="I66" s="28"/>
      <c r="J66" s="49" t="s">
        <v>95</v>
      </c>
      <c r="K66">
        <f t="shared" ref="K66:K67" si="5">IF(C66="vacuum gap",1,0)</f>
        <v>0</v>
      </c>
    </row>
    <row r="67" spans="1:11" ht="18.75" customHeight="1" x14ac:dyDescent="0.25">
      <c r="A67" s="76"/>
      <c r="B67" s="21"/>
      <c r="C67" s="45"/>
      <c r="D67" s="22">
        <f>D69-$D$10</f>
        <v>28290</v>
      </c>
      <c r="E67" s="47">
        <f t="shared" ref="E67:F67" si="6">E66</f>
        <v>20</v>
      </c>
      <c r="F67" s="47">
        <f t="shared" si="6"/>
        <v>80</v>
      </c>
      <c r="G67" s="48">
        <f>D67-D66</f>
        <v>280</v>
      </c>
      <c r="H67" s="23"/>
      <c r="I67" s="28"/>
      <c r="J67" s="49"/>
      <c r="K67">
        <f t="shared" si="5"/>
        <v>0</v>
      </c>
    </row>
    <row r="68" spans="1:11" ht="18.75" customHeight="1" x14ac:dyDescent="0.25">
      <c r="A68" s="76"/>
      <c r="B68" s="53"/>
      <c r="C68" s="10" t="s">
        <v>85</v>
      </c>
      <c r="D68" s="11"/>
      <c r="E68" s="12"/>
      <c r="F68" s="12"/>
      <c r="G68" s="48">
        <f>D69-D67</f>
        <v>10</v>
      </c>
      <c r="H68" s="14"/>
      <c r="I68" s="15"/>
      <c r="J68" s="49"/>
    </row>
    <row r="69" spans="1:11" ht="18.75" customHeight="1" x14ac:dyDescent="0.25">
      <c r="A69" s="76"/>
      <c r="B69" s="21" t="s">
        <v>208</v>
      </c>
      <c r="C69" s="45" t="s">
        <v>135</v>
      </c>
      <c r="D69" s="22">
        <f>$D$11+$I$8</f>
        <v>28300</v>
      </c>
      <c r="E69" s="47">
        <f>E67</f>
        <v>20</v>
      </c>
      <c r="F69" s="47">
        <f>F67</f>
        <v>80</v>
      </c>
      <c r="G69" s="48"/>
      <c r="H69" s="23" t="s">
        <v>24</v>
      </c>
      <c r="I69" s="104">
        <v>4</v>
      </c>
      <c r="J69" s="49" t="s">
        <v>95</v>
      </c>
      <c r="K69">
        <f>IF(C69="vacuum gap",1,0)</f>
        <v>0</v>
      </c>
    </row>
    <row r="70" spans="1:11" ht="18.75" customHeight="1" x14ac:dyDescent="0.25">
      <c r="A70" s="76"/>
      <c r="B70" s="21"/>
      <c r="C70" s="45"/>
      <c r="D70" s="22">
        <f>D69+$I$9</f>
        <v>28800</v>
      </c>
      <c r="E70" s="47">
        <f>E69</f>
        <v>20</v>
      </c>
      <c r="F70" s="47">
        <f>F69</f>
        <v>80</v>
      </c>
      <c r="G70" s="48">
        <f>D70-D69</f>
        <v>500</v>
      </c>
      <c r="H70" s="23"/>
      <c r="I70" s="28"/>
      <c r="J70" s="49"/>
      <c r="K70">
        <f>IF(C70="vacuum gap",1,0)</f>
        <v>0</v>
      </c>
    </row>
    <row r="71" spans="1:11" ht="18.75" customHeight="1" x14ac:dyDescent="0.25">
      <c r="A71" s="76"/>
      <c r="B71" s="53"/>
      <c r="C71" s="10" t="s">
        <v>85</v>
      </c>
      <c r="D71" s="11"/>
      <c r="E71" s="12"/>
      <c r="F71" s="12"/>
      <c r="G71" s="48">
        <f>D72-D70</f>
        <v>10</v>
      </c>
      <c r="H71" s="14"/>
      <c r="I71" s="15"/>
      <c r="J71" s="49"/>
    </row>
    <row r="72" spans="1:11" ht="18.75" customHeight="1" x14ac:dyDescent="0.25">
      <c r="A72" s="76"/>
      <c r="B72" s="21" t="s">
        <v>209</v>
      </c>
      <c r="C72" s="45" t="s">
        <v>136</v>
      </c>
      <c r="D72" s="22">
        <f>D70+$D$10</f>
        <v>28810</v>
      </c>
      <c r="E72" s="47">
        <f>E64</f>
        <v>20</v>
      </c>
      <c r="F72" s="47">
        <f>F64</f>
        <v>80</v>
      </c>
      <c r="G72" s="48"/>
      <c r="H72" s="23" t="s">
        <v>133</v>
      </c>
      <c r="I72" s="28"/>
      <c r="J72" s="49" t="s">
        <v>95</v>
      </c>
      <c r="K72">
        <f t="shared" ref="K72:K73" si="7">IF(C72="vacuum gap",1,0)</f>
        <v>0</v>
      </c>
    </row>
    <row r="73" spans="1:11" ht="18.75" customHeight="1" x14ac:dyDescent="0.25">
      <c r="A73" s="76"/>
      <c r="B73" s="21"/>
      <c r="C73" s="45"/>
      <c r="D73" s="22">
        <f>D72+$I$9</f>
        <v>29310</v>
      </c>
      <c r="E73" s="47">
        <f t="shared" ref="E73:F73" si="8">E72</f>
        <v>20</v>
      </c>
      <c r="F73" s="47">
        <f t="shared" si="8"/>
        <v>80</v>
      </c>
      <c r="G73" s="48">
        <f>D73-D72</f>
        <v>500</v>
      </c>
      <c r="H73" s="23"/>
      <c r="I73" s="28"/>
      <c r="J73" s="49"/>
      <c r="K73">
        <f t="shared" si="7"/>
        <v>0</v>
      </c>
    </row>
    <row r="74" spans="1:11" ht="20.25" customHeight="1" x14ac:dyDescent="0.25">
      <c r="A74" s="76">
        <f>D74-D66</f>
        <v>1320</v>
      </c>
      <c r="B74" s="21" t="s">
        <v>40</v>
      </c>
      <c r="C74" s="97" t="s">
        <v>16</v>
      </c>
      <c r="D74" s="22">
        <f>D73+$D$8</f>
        <v>29330</v>
      </c>
      <c r="E74" s="47">
        <f>$K$6*SQRT(1-($N$6-$D74)^2/$O$6^2)</f>
        <v>20</v>
      </c>
      <c r="F74" s="47">
        <f>F73</f>
        <v>80</v>
      </c>
      <c r="H74" s="23" t="s">
        <v>122</v>
      </c>
      <c r="I74" s="28"/>
      <c r="J74" s="49" t="s">
        <v>95</v>
      </c>
      <c r="K74">
        <f t="shared" si="1"/>
        <v>0</v>
      </c>
    </row>
    <row r="75" spans="1:11" ht="20.25" customHeight="1" x14ac:dyDescent="0.25">
      <c r="A75" s="76"/>
      <c r="B75" s="21"/>
      <c r="C75" s="97"/>
      <c r="D75" s="22">
        <f>$N$6-1</f>
        <v>38999</v>
      </c>
      <c r="E75" s="47">
        <f>$K$6*SQRT(1-($N$6-$D75)^2/$O$6^2)</f>
        <v>39.99999983958746</v>
      </c>
      <c r="F75" s="47">
        <f t="shared" ref="F75:F76" si="9">F74</f>
        <v>80</v>
      </c>
      <c r="G75" s="48">
        <f>D75-D74</f>
        <v>9669</v>
      </c>
      <c r="H75" s="23"/>
      <c r="I75" s="28"/>
      <c r="J75" s="49"/>
      <c r="K75">
        <f t="shared" si="1"/>
        <v>0</v>
      </c>
    </row>
    <row r="76" spans="1:11" x14ac:dyDescent="0.25">
      <c r="A76" s="76">
        <f>D76-D74</f>
        <v>9670</v>
      </c>
      <c r="B76" s="21" t="s">
        <v>140</v>
      </c>
      <c r="C76" s="45" t="s">
        <v>21</v>
      </c>
      <c r="D76" s="22">
        <f>$N$6</f>
        <v>39000</v>
      </c>
      <c r="E76" s="47">
        <f>$K$6*SQRT(1-($N$6-$D76)^2/$O$6^2)</f>
        <v>40</v>
      </c>
      <c r="F76" s="47">
        <f t="shared" si="9"/>
        <v>80</v>
      </c>
      <c r="G76" s="48"/>
      <c r="H76" s="23" t="s">
        <v>18</v>
      </c>
      <c r="I76" s="28"/>
      <c r="J76" s="49" t="s">
        <v>210</v>
      </c>
      <c r="K76">
        <f t="shared" si="1"/>
        <v>0</v>
      </c>
    </row>
    <row r="77" spans="1:11" x14ac:dyDescent="0.25">
      <c r="A77" s="76"/>
      <c r="B77" s="21"/>
      <c r="C77" s="45"/>
      <c r="D77" s="22">
        <f>D79-$D$6</f>
        <v>79925</v>
      </c>
      <c r="E77" s="66">
        <f>$K$6</f>
        <v>40</v>
      </c>
      <c r="F77" s="66">
        <f>F76</f>
        <v>80</v>
      </c>
      <c r="G77" s="48">
        <f>D77-D76</f>
        <v>40925</v>
      </c>
      <c r="H77" s="23"/>
      <c r="I77" s="28"/>
      <c r="J77" s="49"/>
      <c r="K77">
        <f t="shared" si="1"/>
        <v>0</v>
      </c>
    </row>
    <row r="78" spans="1:11" x14ac:dyDescent="0.25">
      <c r="A78" s="76"/>
      <c r="B78" s="21"/>
      <c r="C78" s="10" t="s">
        <v>85</v>
      </c>
      <c r="D78" s="22"/>
      <c r="E78" s="47"/>
      <c r="F78" s="47"/>
      <c r="G78" s="48">
        <f>D79-D77</f>
        <v>50</v>
      </c>
      <c r="H78" s="23"/>
      <c r="I78" s="28"/>
      <c r="J78" s="49"/>
      <c r="K78">
        <f t="shared" si="1"/>
        <v>1</v>
      </c>
    </row>
    <row r="79" spans="1:11" x14ac:dyDescent="0.25">
      <c r="A79" s="76">
        <f>D79-D76</f>
        <v>40975</v>
      </c>
      <c r="B79" s="21" t="s">
        <v>93</v>
      </c>
      <c r="C79" s="52" t="s">
        <v>12</v>
      </c>
      <c r="D79" s="54">
        <f>$D$13-25</f>
        <v>79975</v>
      </c>
      <c r="E79" s="47">
        <f>E76</f>
        <v>40</v>
      </c>
      <c r="F79" s="47">
        <f>F77</f>
        <v>80</v>
      </c>
      <c r="G79" s="48"/>
      <c r="H79" s="23" t="s">
        <v>4</v>
      </c>
      <c r="I79" s="28"/>
      <c r="J79" s="49" t="s">
        <v>114</v>
      </c>
      <c r="K79">
        <f t="shared" si="1"/>
        <v>0</v>
      </c>
    </row>
    <row r="80" spans="1:11" x14ac:dyDescent="0.25">
      <c r="A80" s="76">
        <f>D80-D79</f>
        <v>50</v>
      </c>
      <c r="B80" s="21" t="s">
        <v>211</v>
      </c>
      <c r="C80" s="52" t="s">
        <v>12</v>
      </c>
      <c r="D80" s="54">
        <f>$D$13+25</f>
        <v>80025</v>
      </c>
      <c r="E80" s="47">
        <f t="shared" ref="E80:F89" si="10">E79</f>
        <v>40</v>
      </c>
      <c r="F80" s="47">
        <f t="shared" si="10"/>
        <v>80</v>
      </c>
      <c r="G80" s="48"/>
      <c r="H80" s="23" t="s">
        <v>4</v>
      </c>
      <c r="I80" s="28"/>
      <c r="J80" s="49" t="s">
        <v>115</v>
      </c>
      <c r="K80">
        <f t="shared" si="1"/>
        <v>0</v>
      </c>
    </row>
    <row r="81" spans="1:13" x14ac:dyDescent="0.25">
      <c r="A81" s="76"/>
      <c r="B81" s="21"/>
      <c r="C81" s="10" t="s">
        <v>85</v>
      </c>
      <c r="D81" s="54"/>
      <c r="E81" s="47"/>
      <c r="F81" s="47"/>
      <c r="G81" s="48">
        <f>D82-D80</f>
        <v>50</v>
      </c>
      <c r="H81" s="23"/>
      <c r="I81" s="28"/>
      <c r="J81" s="49"/>
      <c r="K81">
        <f t="shared" si="1"/>
        <v>1</v>
      </c>
    </row>
    <row r="82" spans="1:13" x14ac:dyDescent="0.25">
      <c r="A82" s="76">
        <f>D82-D80</f>
        <v>50</v>
      </c>
      <c r="B82" s="21" t="s">
        <v>141</v>
      </c>
      <c r="C82" s="45" t="s">
        <v>23</v>
      </c>
      <c r="D82" s="22">
        <f>D80+$D$6</f>
        <v>80075</v>
      </c>
      <c r="E82" s="47">
        <f>E80</f>
        <v>40</v>
      </c>
      <c r="F82" s="47">
        <f>F80</f>
        <v>80</v>
      </c>
      <c r="G82" s="48"/>
      <c r="H82" s="23" t="s">
        <v>18</v>
      </c>
      <c r="I82" s="28"/>
      <c r="J82" s="49" t="s">
        <v>210</v>
      </c>
      <c r="K82">
        <f t="shared" ref="K82:K89" si="11">IF(C82="vacuum gap",1,0)</f>
        <v>0</v>
      </c>
    </row>
    <row r="83" spans="1:13" x14ac:dyDescent="0.25">
      <c r="A83" s="76"/>
      <c r="B83" s="21"/>
      <c r="C83" s="45"/>
      <c r="D83" s="22">
        <f>D84-1</f>
        <v>144499</v>
      </c>
      <c r="E83" s="47">
        <f t="shared" si="10"/>
        <v>40</v>
      </c>
      <c r="F83" s="47">
        <f t="shared" si="10"/>
        <v>80</v>
      </c>
      <c r="G83" s="48">
        <f>D83-D82</f>
        <v>64424</v>
      </c>
      <c r="H83" s="23"/>
      <c r="I83" s="28"/>
      <c r="J83" s="49"/>
      <c r="K83">
        <f t="shared" si="11"/>
        <v>0</v>
      </c>
    </row>
    <row r="84" spans="1:13" x14ac:dyDescent="0.25">
      <c r="A84" s="76">
        <f>D84-D82</f>
        <v>64425</v>
      </c>
      <c r="B84" s="21" t="s">
        <v>41</v>
      </c>
      <c r="C84" s="97" t="s">
        <v>22</v>
      </c>
      <c r="D84" s="22">
        <f>$D$5-$N$7</f>
        <v>144500</v>
      </c>
      <c r="E84" s="47">
        <f t="shared" si="10"/>
        <v>40</v>
      </c>
      <c r="F84" s="47">
        <f>$K$7*SQRT(1-(D84-$D$5+$N$7)^2/$O$7^2)</f>
        <v>80</v>
      </c>
      <c r="G84" s="48"/>
      <c r="H84" s="23" t="s">
        <v>25</v>
      </c>
      <c r="I84" s="28" t="s">
        <v>56</v>
      </c>
      <c r="J84" s="49" t="s">
        <v>196</v>
      </c>
      <c r="K84">
        <f t="shared" si="11"/>
        <v>0</v>
      </c>
    </row>
    <row r="85" spans="1:13" x14ac:dyDescent="0.25">
      <c r="A85" s="76"/>
      <c r="B85" s="21"/>
      <c r="C85" s="97"/>
      <c r="D85" s="22">
        <f>D87-$D$9/2</f>
        <v>151985</v>
      </c>
      <c r="E85" s="47">
        <f t="shared" si="10"/>
        <v>40</v>
      </c>
      <c r="F85" s="47">
        <f>$K$7*SQRT(1-(D85-$D$5+$N$7)^2/$O$7^2)</f>
        <v>66.542558411891562</v>
      </c>
      <c r="G85" s="48">
        <f>D85-D84</f>
        <v>7485</v>
      </c>
      <c r="H85" s="23"/>
      <c r="I85" s="28"/>
      <c r="J85" s="49"/>
      <c r="K85">
        <f t="shared" si="11"/>
        <v>0</v>
      </c>
      <c r="L85" s="116"/>
    </row>
    <row r="86" spans="1:13" x14ac:dyDescent="0.25">
      <c r="A86" s="76"/>
      <c r="B86" s="21"/>
      <c r="C86" s="10" t="s">
        <v>85</v>
      </c>
      <c r="D86" s="22"/>
      <c r="E86" s="47"/>
      <c r="F86" s="47"/>
      <c r="G86" s="48"/>
      <c r="H86" s="23"/>
      <c r="I86" s="28"/>
      <c r="J86" s="49"/>
      <c r="K86">
        <f t="shared" si="11"/>
        <v>1</v>
      </c>
      <c r="L86" s="116"/>
    </row>
    <row r="87" spans="1:13" x14ac:dyDescent="0.25">
      <c r="A87" s="76">
        <f>D87-D84</f>
        <v>7500</v>
      </c>
      <c r="B87" s="21" t="s">
        <v>51</v>
      </c>
      <c r="C87" s="96" t="s">
        <v>26</v>
      </c>
      <c r="D87" s="115">
        <f>D99-6000</f>
        <v>152000</v>
      </c>
      <c r="E87" s="47">
        <f>E85</f>
        <v>40</v>
      </c>
      <c r="F87" s="47">
        <f>$K$7*SQRT(1-(D87-$D$5+$N$7)^2/$O$7^2)</f>
        <v>66.483080554378645</v>
      </c>
      <c r="G87" s="48"/>
      <c r="H87" s="23" t="s">
        <v>27</v>
      </c>
      <c r="I87" s="28"/>
      <c r="J87" s="49"/>
      <c r="K87">
        <f t="shared" si="11"/>
        <v>0</v>
      </c>
      <c r="L87" s="116"/>
    </row>
    <row r="88" spans="1:13" x14ac:dyDescent="0.25">
      <c r="A88" s="76">
        <f>D88-D87</f>
        <v>15</v>
      </c>
      <c r="B88" s="21" t="s">
        <v>49</v>
      </c>
      <c r="C88" s="97" t="s">
        <v>28</v>
      </c>
      <c r="D88" s="22">
        <f>D87+$D$9/2</f>
        <v>152015</v>
      </c>
      <c r="E88" s="47">
        <f t="shared" si="10"/>
        <v>40</v>
      </c>
      <c r="F88" s="47">
        <f>$K$7*SQRT(1-(D88-$D$5+$N$7)^2/$O$7^2)</f>
        <v>66.423430203505745</v>
      </c>
      <c r="G88" s="48"/>
      <c r="H88" s="23" t="s">
        <v>25</v>
      </c>
      <c r="I88" s="28" t="s">
        <v>56</v>
      </c>
      <c r="J88" s="49" t="s">
        <v>219</v>
      </c>
      <c r="K88">
        <f t="shared" si="11"/>
        <v>0</v>
      </c>
      <c r="L88" s="116"/>
    </row>
    <row r="89" spans="1:13" x14ac:dyDescent="0.25">
      <c r="A89" s="76"/>
      <c r="B89" s="21"/>
      <c r="C89" s="97"/>
      <c r="D89" s="22">
        <f>D92-$D$9/2</f>
        <v>154985</v>
      </c>
      <c r="E89" s="47">
        <f t="shared" si="10"/>
        <v>40</v>
      </c>
      <c r="F89" s="47">
        <f>$K$7*SQRT(1-(D89-$D$5+$N$7)^2/$O$7^2)</f>
        <v>50.301889427734217</v>
      </c>
      <c r="G89" s="48">
        <f>D89-D88</f>
        <v>2970</v>
      </c>
      <c r="H89" s="23"/>
      <c r="I89" s="28"/>
      <c r="J89" s="49"/>
      <c r="K89">
        <f t="shared" si="11"/>
        <v>0</v>
      </c>
      <c r="L89" s="116"/>
    </row>
    <row r="90" spans="1:13" x14ac:dyDescent="0.25">
      <c r="A90" s="76"/>
      <c r="B90" s="112" t="s">
        <v>29</v>
      </c>
      <c r="C90" s="113"/>
      <c r="D90" s="5"/>
      <c r="E90" s="8"/>
      <c r="F90" s="8"/>
      <c r="G90" s="9"/>
      <c r="H90" s="6"/>
      <c r="I90" s="44"/>
      <c r="J90" s="40" t="s">
        <v>212</v>
      </c>
      <c r="K90">
        <f>IF(B90="vacuum gap",1,0)</f>
        <v>0</v>
      </c>
      <c r="L90" s="116"/>
      <c r="M90" s="73"/>
    </row>
    <row r="91" spans="1:13" x14ac:dyDescent="0.25">
      <c r="A91" s="76"/>
      <c r="B91" s="53"/>
      <c r="C91" s="10" t="s">
        <v>85</v>
      </c>
      <c r="D91" s="11"/>
      <c r="E91" s="12"/>
      <c r="F91" s="12"/>
      <c r="G91" s="13"/>
      <c r="H91" s="14"/>
      <c r="I91" s="15"/>
      <c r="J91" s="55"/>
      <c r="K91">
        <f t="shared" ref="K91:K98" si="12">IF(C91="vacuum gap",1,0)</f>
        <v>1</v>
      </c>
      <c r="L91" s="116"/>
    </row>
    <row r="92" spans="1:13" x14ac:dyDescent="0.25">
      <c r="A92" s="76">
        <f>D92-D88</f>
        <v>2985</v>
      </c>
      <c r="B92" s="21" t="s">
        <v>52</v>
      </c>
      <c r="C92" s="96" t="s">
        <v>26</v>
      </c>
      <c r="D92" s="22">
        <f>D99-3000</f>
        <v>155000</v>
      </c>
      <c r="E92" s="47">
        <f>E88</f>
        <v>40</v>
      </c>
      <c r="F92" s="47">
        <f>$K$7*SQRT(1-(D92-$D$5+$N$7)^2/$O$7^2)</f>
        <v>50.191632768819147</v>
      </c>
      <c r="G92" s="48"/>
      <c r="H92" s="23" t="s">
        <v>27</v>
      </c>
      <c r="I92" s="28"/>
      <c r="J92" s="49"/>
      <c r="K92">
        <f t="shared" si="12"/>
        <v>0</v>
      </c>
      <c r="L92" s="116"/>
    </row>
    <row r="93" spans="1:13" x14ac:dyDescent="0.25">
      <c r="A93" s="76">
        <f>D93-D92</f>
        <v>15</v>
      </c>
      <c r="B93" s="21" t="s">
        <v>50</v>
      </c>
      <c r="C93" s="97" t="s">
        <v>30</v>
      </c>
      <c r="D93" s="22">
        <f>D92+$D$9/2</f>
        <v>155015</v>
      </c>
      <c r="E93" s="47">
        <f>E92</f>
        <v>40</v>
      </c>
      <c r="F93" s="47">
        <f t="shared" ref="F93:F96" si="13">$K$7*SQRT(1-(D93-$D$5+$N$7)^2/$O$7^2)</f>
        <v>50.080975230121069</v>
      </c>
      <c r="G93" s="48"/>
      <c r="H93" s="23" t="s">
        <v>25</v>
      </c>
      <c r="I93" s="28" t="s">
        <v>82</v>
      </c>
      <c r="J93" s="49" t="s">
        <v>213</v>
      </c>
      <c r="K93">
        <f t="shared" si="12"/>
        <v>0</v>
      </c>
      <c r="L93" s="116"/>
    </row>
    <row r="94" spans="1:13" x14ac:dyDescent="0.25">
      <c r="A94" s="76"/>
      <c r="B94" s="21"/>
      <c r="C94" s="97"/>
      <c r="D94" s="22">
        <f>D99-1000</f>
        <v>157000</v>
      </c>
      <c r="E94" s="47">
        <f t="shared" ref="E94:E96" si="14">E93</f>
        <v>40</v>
      </c>
      <c r="F94" s="47">
        <f t="shared" si="13"/>
        <v>30</v>
      </c>
      <c r="G94" s="48">
        <f>D94-D93</f>
        <v>1985</v>
      </c>
      <c r="H94" s="23"/>
      <c r="I94" s="28"/>
      <c r="J94" s="49"/>
      <c r="K94">
        <f t="shared" si="12"/>
        <v>0</v>
      </c>
      <c r="L94" s="116"/>
    </row>
    <row r="95" spans="1:13" x14ac:dyDescent="0.25">
      <c r="A95" s="76"/>
      <c r="B95" s="21" t="s">
        <v>220</v>
      </c>
      <c r="C95" s="97" t="s">
        <v>31</v>
      </c>
      <c r="D95" s="22">
        <f>D93</f>
        <v>155015</v>
      </c>
      <c r="E95" s="47">
        <f t="shared" si="14"/>
        <v>40</v>
      </c>
      <c r="F95" s="47">
        <f t="shared" si="13"/>
        <v>50.080975230121069</v>
      </c>
      <c r="G95" s="48"/>
      <c r="H95" s="23" t="s">
        <v>32</v>
      </c>
      <c r="I95" s="28" t="s">
        <v>82</v>
      </c>
      <c r="J95" s="49" t="s">
        <v>213</v>
      </c>
      <c r="K95">
        <f t="shared" si="12"/>
        <v>0</v>
      </c>
      <c r="L95" s="116"/>
    </row>
    <row r="96" spans="1:13" x14ac:dyDescent="0.25">
      <c r="A96" s="76"/>
      <c r="B96" s="21"/>
      <c r="C96" s="97"/>
      <c r="D96" s="22">
        <f>D94</f>
        <v>157000</v>
      </c>
      <c r="E96" s="47">
        <f t="shared" si="14"/>
        <v>40</v>
      </c>
      <c r="F96" s="47">
        <f t="shared" si="13"/>
        <v>30</v>
      </c>
      <c r="G96" s="48">
        <f>D96-D95</f>
        <v>1985</v>
      </c>
      <c r="H96" s="23"/>
      <c r="I96" s="28"/>
      <c r="J96" s="49"/>
      <c r="K96">
        <f t="shared" si="12"/>
        <v>0</v>
      </c>
      <c r="L96" s="116"/>
    </row>
    <row r="97" spans="1:13" x14ac:dyDescent="0.25">
      <c r="A97" s="76"/>
      <c r="B97" s="21"/>
      <c r="C97" s="10" t="s">
        <v>85</v>
      </c>
      <c r="D97" s="22"/>
      <c r="E97" s="47"/>
      <c r="F97" s="47"/>
      <c r="G97" s="48"/>
      <c r="H97" s="23"/>
      <c r="I97" s="28"/>
      <c r="J97" s="49"/>
      <c r="K97">
        <f t="shared" si="12"/>
        <v>1</v>
      </c>
      <c r="L97" s="116"/>
    </row>
    <row r="98" spans="1:13" ht="30" x14ac:dyDescent="0.25">
      <c r="A98" s="76">
        <f>D98-D95</f>
        <v>2935</v>
      </c>
      <c r="B98" s="29" t="s">
        <v>53</v>
      </c>
      <c r="C98" s="98" t="s">
        <v>33</v>
      </c>
      <c r="D98" s="30">
        <f>D99-50</f>
        <v>157950</v>
      </c>
      <c r="E98" s="56">
        <f>E99</f>
        <v>5</v>
      </c>
      <c r="F98" s="56">
        <f>F99</f>
        <v>10</v>
      </c>
      <c r="G98" s="57"/>
      <c r="H98" s="31" t="s">
        <v>35</v>
      </c>
      <c r="I98" s="32"/>
      <c r="J98" s="58"/>
      <c r="K98">
        <f t="shared" si="12"/>
        <v>0</v>
      </c>
      <c r="L98" s="116"/>
    </row>
    <row r="99" spans="1:13" x14ac:dyDescent="0.25">
      <c r="A99" s="76">
        <f>D99-D98</f>
        <v>50</v>
      </c>
      <c r="B99" s="112" t="s">
        <v>34</v>
      </c>
      <c r="C99" s="113"/>
      <c r="D99" s="41">
        <f>$D$5</f>
        <v>158000</v>
      </c>
      <c r="E99" s="42">
        <v>5</v>
      </c>
      <c r="F99" s="42">
        <v>10</v>
      </c>
      <c r="G99" s="43"/>
      <c r="H99" s="6"/>
      <c r="I99" s="44"/>
      <c r="J99" s="40"/>
      <c r="M99" s="73"/>
    </row>
    <row r="100" spans="1:13" x14ac:dyDescent="0.25">
      <c r="A100" s="76">
        <f>SUM(A17:A99)</f>
        <v>158000</v>
      </c>
    </row>
    <row r="101" spans="1:13" x14ac:dyDescent="0.25">
      <c r="A101" s="76">
        <f>D98-D84</f>
        <v>13450</v>
      </c>
    </row>
    <row r="102" spans="1:13" x14ac:dyDescent="0.25">
      <c r="A102" s="76"/>
      <c r="B102" s="110" t="s">
        <v>55</v>
      </c>
      <c r="C102" s="110"/>
    </row>
    <row r="103" spans="1:13" ht="21.75" customHeight="1" x14ac:dyDescent="0.25">
      <c r="A103" s="76"/>
      <c r="B103" s="2" t="s">
        <v>214</v>
      </c>
      <c r="C103" s="117" t="s">
        <v>215</v>
      </c>
      <c r="D103" s="117"/>
      <c r="E103" s="117"/>
      <c r="F103" s="117"/>
      <c r="G103" s="117"/>
      <c r="H103" s="117"/>
    </row>
    <row r="104" spans="1:13" ht="15" customHeight="1" x14ac:dyDescent="0.25">
      <c r="A104" s="76"/>
      <c r="B104" s="2">
        <v>1</v>
      </c>
      <c r="C104" s="111" t="s">
        <v>80</v>
      </c>
      <c r="D104" s="111"/>
      <c r="E104" s="111"/>
      <c r="F104" s="111"/>
      <c r="G104" s="111"/>
      <c r="H104" s="111"/>
    </row>
    <row r="105" spans="1:13" ht="15" customHeight="1" x14ac:dyDescent="0.25">
      <c r="A105" s="76"/>
      <c r="B105" s="2">
        <v>2</v>
      </c>
      <c r="C105" s="111" t="s">
        <v>81</v>
      </c>
      <c r="D105" s="111"/>
      <c r="E105" s="111"/>
      <c r="F105" s="111"/>
      <c r="G105" s="111"/>
      <c r="H105" s="111"/>
    </row>
    <row r="106" spans="1:13" ht="17.25" customHeight="1" x14ac:dyDescent="0.25">
      <c r="A106" s="76"/>
      <c r="B106" s="2">
        <v>3</v>
      </c>
      <c r="C106" s="111" t="s">
        <v>83</v>
      </c>
      <c r="D106" s="111"/>
      <c r="E106" s="111"/>
      <c r="F106" s="111"/>
      <c r="G106" s="111"/>
      <c r="H106" s="111"/>
    </row>
    <row r="107" spans="1:13" x14ac:dyDescent="0.25">
      <c r="A107" s="76"/>
      <c r="B107" s="2">
        <v>4</v>
      </c>
      <c r="C107" s="117" t="s">
        <v>197</v>
      </c>
      <c r="D107" s="117"/>
      <c r="E107" s="117"/>
      <c r="F107" s="117"/>
      <c r="G107" s="117"/>
      <c r="H107" s="117"/>
    </row>
    <row r="108" spans="1:13" x14ac:dyDescent="0.25">
      <c r="A108" s="76"/>
      <c r="B108" s="2"/>
    </row>
    <row r="109" spans="1:13" x14ac:dyDescent="0.25">
      <c r="B109" s="2"/>
    </row>
    <row r="110" spans="1:13" x14ac:dyDescent="0.25">
      <c r="B110" s="2"/>
    </row>
    <row r="111" spans="1:13" x14ac:dyDescent="0.25">
      <c r="B111" s="2"/>
    </row>
    <row r="112" spans="1:13" x14ac:dyDescent="0.25">
      <c r="B112" s="2"/>
    </row>
    <row r="113" spans="2:2" x14ac:dyDescent="0.25">
      <c r="B113" s="2"/>
    </row>
    <row r="114" spans="2:2" x14ac:dyDescent="0.25">
      <c r="B114" s="2"/>
    </row>
  </sheetData>
  <mergeCells count="12">
    <mergeCell ref="C107:H107"/>
    <mergeCell ref="C103:H103"/>
    <mergeCell ref="B27:C27"/>
    <mergeCell ref="B16:C16"/>
    <mergeCell ref="B65:C65"/>
    <mergeCell ref="C105:H105"/>
    <mergeCell ref="C106:H106"/>
    <mergeCell ref="B102:C102"/>
    <mergeCell ref="C104:H104"/>
    <mergeCell ref="B99:C99"/>
    <mergeCell ref="B90:C90"/>
    <mergeCell ref="B58:C58"/>
  </mergeCells>
  <pageMargins left="0.7" right="0.7" top="0.78740157499999996" bottom="0.78740157499999996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5"/>
  <sheetViews>
    <sheetView workbookViewId="0">
      <selection activeCell="D43" sqref="D43"/>
    </sheetView>
  </sheetViews>
  <sheetFormatPr defaultRowHeight="15" x14ac:dyDescent="0.25"/>
  <cols>
    <col min="2" max="2" width="32.140625" customWidth="1"/>
    <col min="3" max="3" width="9.7109375" customWidth="1"/>
    <col min="4" max="4" width="11.28515625" customWidth="1"/>
    <col min="5" max="5" width="10.140625" customWidth="1"/>
    <col min="6" max="6" width="8.28515625" customWidth="1"/>
    <col min="7" max="7" width="9" customWidth="1"/>
    <col min="8" max="8" width="10.85546875" customWidth="1"/>
    <col min="10" max="10" width="9.7109375" bestFit="1" customWidth="1"/>
  </cols>
  <sheetData>
    <row r="1" spans="2:13" x14ac:dyDescent="0.25">
      <c r="B1" s="77" t="s">
        <v>106</v>
      </c>
      <c r="C1">
        <v>144.69999999999999</v>
      </c>
      <c r="D1">
        <f>C1*PI()/180</f>
        <v>2.5254914276357945</v>
      </c>
      <c r="F1" s="17" t="s">
        <v>142</v>
      </c>
      <c r="G1">
        <f>-SIN($D$2)</f>
        <v>-0.81613759008016007</v>
      </c>
      <c r="H1">
        <f>-COS($D$2)</f>
        <v>-0.57785762438350552</v>
      </c>
      <c r="I1">
        <v>0</v>
      </c>
      <c r="J1" s="77" t="s">
        <v>143</v>
      </c>
      <c r="K1">
        <v>-29.296923688371329</v>
      </c>
      <c r="L1">
        <v>112.639647826144</v>
      </c>
      <c r="M1">
        <v>137</v>
      </c>
    </row>
    <row r="2" spans="2:13" x14ac:dyDescent="0.25">
      <c r="B2" s="99"/>
      <c r="C2">
        <f>C1-90</f>
        <v>54.699999999999989</v>
      </c>
      <c r="D2">
        <f>C2*PI()/180</f>
        <v>0.95469510084089804</v>
      </c>
      <c r="G2">
        <f>COS($D$2)</f>
        <v>0.57785762438350552</v>
      </c>
      <c r="H2">
        <f>-SIN($D$2)</f>
        <v>-0.81613759008016007</v>
      </c>
      <c r="I2">
        <v>0</v>
      </c>
      <c r="J2" s="77" t="s">
        <v>144</v>
      </c>
      <c r="K2">
        <v>-41.431933800424943</v>
      </c>
      <c r="L2">
        <v>95.500758434460636</v>
      </c>
      <c r="M2">
        <v>137</v>
      </c>
    </row>
    <row r="3" spans="2:13" x14ac:dyDescent="0.25">
      <c r="B3" s="99"/>
      <c r="G3">
        <v>0</v>
      </c>
      <c r="H3">
        <v>0</v>
      </c>
      <c r="I3">
        <v>1</v>
      </c>
    </row>
    <row r="4" spans="2:13" x14ac:dyDescent="0.25">
      <c r="B4" s="99"/>
      <c r="F4" t="s">
        <v>145</v>
      </c>
      <c r="G4">
        <f>-SIN($D$2)</f>
        <v>-0.81613759008016007</v>
      </c>
      <c r="H4">
        <f>COS($D$2)</f>
        <v>0.57785762438350552</v>
      </c>
      <c r="I4">
        <v>0</v>
      </c>
    </row>
    <row r="5" spans="2:13" x14ac:dyDescent="0.25">
      <c r="B5" s="99"/>
      <c r="G5">
        <f>-COS($D$2)</f>
        <v>-0.57785762438350552</v>
      </c>
      <c r="H5">
        <f>-SIN($D$2)</f>
        <v>-0.81613759008016007</v>
      </c>
      <c r="I5">
        <v>0</v>
      </c>
    </row>
    <row r="6" spans="2:13" x14ac:dyDescent="0.25">
      <c r="B6" s="99"/>
      <c r="C6" s="76"/>
      <c r="D6" s="76"/>
      <c r="G6">
        <v>0</v>
      </c>
      <c r="H6">
        <v>0</v>
      </c>
      <c r="I6">
        <v>1</v>
      </c>
    </row>
    <row r="7" spans="2:13" x14ac:dyDescent="0.25">
      <c r="B7" s="99"/>
      <c r="C7" t="s">
        <v>109</v>
      </c>
      <c r="D7" t="s">
        <v>146</v>
      </c>
      <c r="E7" t="s">
        <v>110</v>
      </c>
      <c r="F7" t="s">
        <v>111</v>
      </c>
      <c r="G7" t="s">
        <v>112</v>
      </c>
      <c r="H7" t="s">
        <v>147</v>
      </c>
    </row>
    <row r="8" spans="2:13" x14ac:dyDescent="0.25">
      <c r="B8" s="99" t="s">
        <v>143</v>
      </c>
      <c r="C8">
        <v>-75</v>
      </c>
      <c r="D8">
        <v>89</v>
      </c>
      <c r="E8">
        <v>137</v>
      </c>
      <c r="F8">
        <f>-SUMPRODUCT($G$4:$I$4,C8:E8)</f>
        <v>-112.639647826144</v>
      </c>
      <c r="G8">
        <f>-SUMPRODUCT($G$5:$I$5,C8:E8)</f>
        <v>29.296923688371329</v>
      </c>
      <c r="H8">
        <f>-SUMPRODUCT($G$6:$I$6,C8:E8)</f>
        <v>-137</v>
      </c>
    </row>
    <row r="9" spans="2:13" x14ac:dyDescent="0.25">
      <c r="B9" s="99" t="s">
        <v>144</v>
      </c>
      <c r="C9">
        <v>-54</v>
      </c>
      <c r="D9">
        <v>89</v>
      </c>
      <c r="E9">
        <v>137</v>
      </c>
      <c r="F9">
        <f>-SUMPRODUCT($G$4:$I$4,C9:E9)</f>
        <v>-95.500758434460636</v>
      </c>
      <c r="G9">
        <f>-SUMPRODUCT($G$5:$I$5,C9:E9)</f>
        <v>41.431933800424943</v>
      </c>
      <c r="H9">
        <f>-SUMPRODUCT($G$6:$I$6,C9:E9)</f>
        <v>-137</v>
      </c>
    </row>
    <row r="10" spans="2:13" x14ac:dyDescent="0.25">
      <c r="B10" s="99"/>
    </row>
    <row r="11" spans="2:13" x14ac:dyDescent="0.25">
      <c r="B11" s="77" t="s">
        <v>148</v>
      </c>
      <c r="C11" t="s">
        <v>149</v>
      </c>
      <c r="F11" t="s">
        <v>150</v>
      </c>
      <c r="I11" t="s">
        <v>151</v>
      </c>
    </row>
    <row r="12" spans="2:13" x14ac:dyDescent="0.25">
      <c r="B12" s="99"/>
      <c r="C12" t="s">
        <v>109</v>
      </c>
      <c r="D12" t="s">
        <v>146</v>
      </c>
      <c r="E12" t="s">
        <v>110</v>
      </c>
      <c r="F12" t="s">
        <v>111</v>
      </c>
      <c r="G12" t="s">
        <v>112</v>
      </c>
      <c r="H12" t="s">
        <v>147</v>
      </c>
      <c r="I12" t="s">
        <v>152</v>
      </c>
      <c r="J12" t="s">
        <v>153</v>
      </c>
      <c r="K12" t="s">
        <v>154</v>
      </c>
    </row>
    <row r="13" spans="2:13" x14ac:dyDescent="0.25">
      <c r="B13" s="99" t="s">
        <v>155</v>
      </c>
      <c r="C13">
        <v>2120</v>
      </c>
      <c r="D13">
        <v>0</v>
      </c>
      <c r="E13">
        <v>137</v>
      </c>
    </row>
    <row r="14" spans="2:13" x14ac:dyDescent="0.25">
      <c r="B14" s="99" t="s">
        <v>156</v>
      </c>
      <c r="C14">
        <f>SUMPRODUCT($G$1:$I$1,C13:E13)</f>
        <v>-1730.2116909699394</v>
      </c>
      <c r="D14">
        <f>SUMPRODUCT($G$2:$I$2,C13:E13)</f>
        <v>1225.0581636930317</v>
      </c>
      <c r="E14">
        <f>SUMPRODUCT($G$3:$I$3,C13:E13)</f>
        <v>137</v>
      </c>
      <c r="F14">
        <f>SUMPRODUCT($G$4:$I$4,C14:E14)+F$8</f>
        <v>2007.360352173856</v>
      </c>
      <c r="G14">
        <f>SUMPRODUCT($G$5:$I$5,C14:E14)+G$8</f>
        <v>29.296923688371329</v>
      </c>
      <c r="H14">
        <f>SUMPRODUCT($G$6:$I$6,C14:E14)+H8</f>
        <v>0</v>
      </c>
      <c r="I14" s="100">
        <f>SUMPRODUCT($G$4:$I$4,C14:E14)+F$9</f>
        <v>2024.4992415655393</v>
      </c>
      <c r="J14" s="100">
        <f>SUMPRODUCT($G$5:$I$5,C14:E14)+G$9</f>
        <v>41.431933800424943</v>
      </c>
      <c r="K14" s="100">
        <f>SUMPRODUCT($G$6:$I$6,C14:E14)+H$9</f>
        <v>0</v>
      </c>
    </row>
    <row r="16" spans="2:13" x14ac:dyDescent="0.25">
      <c r="B16" s="101" t="s">
        <v>157</v>
      </c>
    </row>
    <row r="17" spans="2:11" x14ac:dyDescent="0.25">
      <c r="B17" s="74" t="s">
        <v>158</v>
      </c>
    </row>
    <row r="18" spans="2:11" x14ac:dyDescent="0.25">
      <c r="C18" t="s">
        <v>149</v>
      </c>
      <c r="F18" t="s">
        <v>150</v>
      </c>
      <c r="I18" t="s">
        <v>151</v>
      </c>
    </row>
    <row r="19" spans="2:11" x14ac:dyDescent="0.25">
      <c r="B19" t="s">
        <v>159</v>
      </c>
      <c r="C19" s="100">
        <v>-1732.0450000000001</v>
      </c>
      <c r="D19" s="100">
        <v>1225.6600000000001</v>
      </c>
      <c r="E19" s="100">
        <v>60</v>
      </c>
      <c r="F19">
        <f>SUMPRODUCT($G$4:$I$4,C19:E19)+F$8</f>
        <v>2009.204360286134</v>
      </c>
      <c r="G19">
        <f>SUMPRODUCT($G$5:$I$5,C19:E19)+G$8</f>
        <v>29.865134056051069</v>
      </c>
      <c r="H19">
        <f>SUMPRODUCT($G$6:$I$6,C19:E19)+H13</f>
        <v>60</v>
      </c>
      <c r="I19" s="100">
        <f>SUMPRODUCT($G$4:$I$4,C19:E19)+F$9</f>
        <v>2026.3432496778173</v>
      </c>
      <c r="J19" s="100">
        <f>SUMPRODUCT($G$5:$I$5,C19:E19)+G$9</f>
        <v>42.000144168104683</v>
      </c>
      <c r="K19" s="100">
        <f>SUMPRODUCT($G$6:$I$6,C19:E19)+H$9</f>
        <v>-77</v>
      </c>
    </row>
    <row r="20" spans="2:11" x14ac:dyDescent="0.25">
      <c r="B20" t="s">
        <v>160</v>
      </c>
      <c r="C20" s="100">
        <v>-1683.5050000000001</v>
      </c>
      <c r="D20" s="100">
        <v>1294.2159999999999</v>
      </c>
      <c r="E20" s="100">
        <v>60</v>
      </c>
      <c r="F20">
        <f>SUMPRODUCT($G$4:$I$4,C20:E20)+F$8</f>
        <v>2009.2046489608788</v>
      </c>
      <c r="G20">
        <f>SUMPRODUCT($G$5:$I$5,C20:E20)+G$8</f>
        <v>-54.13520365705957</v>
      </c>
      <c r="H20">
        <f>SUMPRODUCT($G$6:$I$6,C20:E20)+H14</f>
        <v>60</v>
      </c>
      <c r="I20" s="100">
        <f>SUMPRODUCT($G$4:$I$4,C20:E20)+F$9</f>
        <v>2026.3435383525621</v>
      </c>
      <c r="J20" s="100">
        <f>SUMPRODUCT($G$5:$I$5,C20:E20)+G$9</f>
        <v>-42.000193545005956</v>
      </c>
      <c r="K20" s="100">
        <f>SUMPRODUCT($G$6:$I$6,C20:E20)+H$9</f>
        <v>-77</v>
      </c>
    </row>
    <row r="21" spans="2:11" x14ac:dyDescent="0.25">
      <c r="B21" t="s">
        <v>161</v>
      </c>
      <c r="C21" s="100">
        <f>SUMPRODUCT($G$1:$I$1,I21:K21)+C$9</f>
        <v>-1707.7749999999999</v>
      </c>
      <c r="D21" s="100">
        <f>SUMPRODUCT($G$2:$I$2,I21:K21)+D$9</f>
        <v>1259.9379999999996</v>
      </c>
      <c r="E21" s="100">
        <f>SUMPRODUCT($G$3:$I$3,I21:K21)+E$9</f>
        <v>137</v>
      </c>
      <c r="F21" s="100"/>
      <c r="G21" s="100"/>
      <c r="I21" s="102">
        <f t="shared" ref="I21" si="0">(I19+I20)/2</f>
        <v>2026.3433940151897</v>
      </c>
      <c r="J21" s="100">
        <f>(J19+J20)/2</f>
        <v>-2.4688450636745074E-5</v>
      </c>
      <c r="K21" s="100">
        <v>0</v>
      </c>
    </row>
    <row r="22" spans="2:11" x14ac:dyDescent="0.25"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x14ac:dyDescent="0.25">
      <c r="B23" t="s">
        <v>162</v>
      </c>
      <c r="C23" s="100">
        <v>-4480.3909999999996</v>
      </c>
      <c r="D23" s="100">
        <v>3186.3009999999999</v>
      </c>
      <c r="E23" s="100">
        <v>72</v>
      </c>
      <c r="F23">
        <f>SUMPRODUCT($G$4:$I$4,C23:E23)+F$8</f>
        <v>5385.2041919614821</v>
      </c>
      <c r="G23">
        <f>SUMPRODUCT($G$5:$I$5,C23:E23)+G$8</f>
        <v>17.865003847605671</v>
      </c>
      <c r="H23">
        <f>SUMPRODUCT($G$6:$I$6,C23:E23)+H17</f>
        <v>72</v>
      </c>
      <c r="I23" s="100">
        <f>SUMPRODUCT($G$4:$I$4,C23:E23)+F$9</f>
        <v>5402.3430813531659</v>
      </c>
      <c r="J23" s="100">
        <f>SUMPRODUCT($G$5:$I$5,C23:E23)+G$9</f>
        <v>30.000013959659285</v>
      </c>
      <c r="K23" s="100">
        <f>SUMPRODUCT($G$6:$I$6,C23:E23)+H$9</f>
        <v>-65</v>
      </c>
    </row>
    <row r="24" spans="2:11" x14ac:dyDescent="0.25">
      <c r="B24" t="s">
        <v>163</v>
      </c>
      <c r="C24" s="100">
        <v>-4445.7190000000001</v>
      </c>
      <c r="D24" s="100">
        <v>3235.2689999999998</v>
      </c>
      <c r="E24" s="100">
        <v>72</v>
      </c>
      <c r="F24">
        <f>SUMPRODUCT($G$4:$I$4,C24:E24)+F$8</f>
        <v>5385.2036015890344</v>
      </c>
      <c r="G24">
        <f>SUMPRODUCT($G$5:$I$5,C24:E24)+G$8</f>
        <v>-42.135101216064037</v>
      </c>
      <c r="H24">
        <f>SUMPRODUCT($G$6:$I$6,C24:E24)+H18</f>
        <v>72</v>
      </c>
      <c r="I24" s="100">
        <f>SUMPRODUCT($G$4:$I$4,C24:E24)+F$9</f>
        <v>5402.3424909807181</v>
      </c>
      <c r="J24" s="100">
        <f>SUMPRODUCT($G$5:$I$5,C24:E24)+G$9</f>
        <v>-30.000091104010423</v>
      </c>
      <c r="K24" s="100">
        <f>SUMPRODUCT($G$6:$I$6,C24:E24)+H$9</f>
        <v>-65</v>
      </c>
    </row>
    <row r="25" spans="2:11" x14ac:dyDescent="0.25">
      <c r="B25" t="s">
        <v>164</v>
      </c>
      <c r="C25" s="100">
        <f>SUMPRODUCT($G$1:$I$1,I25:K25)+C$9</f>
        <v>-4463.0550000000003</v>
      </c>
      <c r="D25" s="100">
        <f>SUMPRODUCT($G$2:$I$2,I25:K25)+D$9</f>
        <v>3210.7849999999999</v>
      </c>
      <c r="E25" s="100">
        <f>SUMPRODUCT($G$3:$I$3,I25:K25)+E$9</f>
        <v>137</v>
      </c>
      <c r="F25" s="100"/>
      <c r="G25" s="100"/>
      <c r="I25" s="102">
        <f t="shared" ref="I25" si="1">(I23+I24)/2</f>
        <v>5402.3427861669425</v>
      </c>
      <c r="J25" s="100">
        <f>(J23+J24)/2</f>
        <v>-3.8572175569129286E-5</v>
      </c>
      <c r="K25" s="100">
        <v>0</v>
      </c>
    </row>
    <row r="26" spans="2:11" x14ac:dyDescent="0.25"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 x14ac:dyDescent="0.25">
      <c r="B27" t="s">
        <v>165</v>
      </c>
      <c r="C27" s="100">
        <v>-4494.3959999999997</v>
      </c>
      <c r="D27" s="100">
        <v>3171.712</v>
      </c>
      <c r="E27" s="100">
        <v>42</v>
      </c>
      <c r="F27">
        <f>SUMPRODUCT($G$4:$I$4,C27:E27)+F$8</f>
        <v>5388.2038340284244</v>
      </c>
      <c r="G27">
        <f>SUMPRODUCT($G$5:$I$5,C27:E27)+G$8</f>
        <v>37.864531178776282</v>
      </c>
      <c r="H27">
        <f>SUMPRODUCT($G$6:$I$6,C27:E27)+H21</f>
        <v>42</v>
      </c>
      <c r="I27" s="100">
        <f>SUMPRODUCT($G$4:$I$4,C27:E27)+F$9</f>
        <v>5405.3427234201081</v>
      </c>
      <c r="J27" s="100">
        <f>SUMPRODUCT($G$5:$I$5,C27:E27)+G$9</f>
        <v>49.999541290829896</v>
      </c>
      <c r="K27" s="100">
        <f>SUMPRODUCT($G$6:$I$6,C27:E27)+H$9</f>
        <v>-95</v>
      </c>
    </row>
    <row r="28" spans="2:11" x14ac:dyDescent="0.25">
      <c r="B28" t="s">
        <v>166</v>
      </c>
      <c r="C28" s="100">
        <v>-4436.6109999999999</v>
      </c>
      <c r="D28" s="100">
        <v>3253.326</v>
      </c>
      <c r="E28" s="100">
        <v>42</v>
      </c>
      <c r="F28">
        <f>SUMPRODUCT($G$4:$I$4,C28:E28)+F$8</f>
        <v>5388.2045955420772</v>
      </c>
      <c r="G28">
        <f>SUMPRODUCT($G$5:$I$5,C28:E28)+G$8</f>
        <v>-62.135224923026804</v>
      </c>
      <c r="H28">
        <f>SUMPRODUCT($G$6:$I$6,C28:E28)+H22</f>
        <v>42</v>
      </c>
      <c r="I28" s="100">
        <f>SUMPRODUCT($G$4:$I$4,C28:E28)+F$9</f>
        <v>5405.3434849337609</v>
      </c>
      <c r="J28" s="100">
        <f>SUMPRODUCT($G$5:$I$5,C28:E28)+G$9</f>
        <v>-50.000214810973191</v>
      </c>
      <c r="K28" s="100">
        <f>SUMPRODUCT($G$6:$I$6,C28:E28)+H$9</f>
        <v>-95</v>
      </c>
    </row>
    <row r="29" spans="2:11" x14ac:dyDescent="0.25">
      <c r="B29" t="s">
        <v>167</v>
      </c>
      <c r="C29" s="100">
        <f>SUMPRODUCT($G$1:$I$1,I29:K29)+C$9</f>
        <v>-4465.5034999999998</v>
      </c>
      <c r="D29" s="100">
        <f>SUMPRODUCT($G$2:$I$2,I29:K29)+D$9</f>
        <v>3212.5189999999998</v>
      </c>
      <c r="E29" s="100">
        <f>SUMPRODUCT($G$3:$I$3,I29:K29)+E$9</f>
        <v>137</v>
      </c>
      <c r="F29" s="100"/>
      <c r="G29" s="100"/>
      <c r="I29" s="102">
        <f t="shared" ref="I29" si="2">(I27+I28)/2</f>
        <v>5405.3431041769345</v>
      </c>
      <c r="J29" s="100">
        <f>(J27+J28)/2</f>
        <v>-3.3676007164729072E-4</v>
      </c>
      <c r="K29" s="100">
        <v>0</v>
      </c>
    </row>
    <row r="30" spans="2:11" x14ac:dyDescent="0.25"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 x14ac:dyDescent="0.25">
      <c r="B31" t="s">
        <v>168</v>
      </c>
      <c r="C31" s="100">
        <v>-4895.4430000000002</v>
      </c>
      <c r="D31" s="100">
        <v>3455.6689999999999</v>
      </c>
      <c r="E31" s="100">
        <v>42</v>
      </c>
      <c r="F31">
        <f>SUMPRODUCT($G$4:$I$4,C31:E31)+F$8</f>
        <v>5879.600083564369</v>
      </c>
      <c r="G31">
        <f>SUMPRODUCT($G$5:$I$5,C31:E31)+G$8</f>
        <v>37.864616198516536</v>
      </c>
      <c r="H31">
        <f>SUMPRODUCT($G$6:$I$6,C31:E31)+H25</f>
        <v>42</v>
      </c>
      <c r="I31" s="100">
        <f>SUMPRODUCT($G$4:$I$4,C31:E31)+F$9</f>
        <v>5896.7389729560527</v>
      </c>
      <c r="J31" s="100">
        <f>SUMPRODUCT($G$5:$I$5,C31:E31)+G$9</f>
        <v>49.99962631057015</v>
      </c>
      <c r="K31" s="100">
        <f>SUMPRODUCT($G$6:$I$6,C31:E31)+H$9</f>
        <v>-95</v>
      </c>
    </row>
    <row r="32" spans="2:11" x14ac:dyDescent="0.25">
      <c r="B32" t="s">
        <v>169</v>
      </c>
      <c r="C32" s="100">
        <v>-4837.6580000000004</v>
      </c>
      <c r="D32" s="100">
        <v>3537.2829999999999</v>
      </c>
      <c r="E32" s="100">
        <v>42</v>
      </c>
      <c r="F32">
        <f>SUMPRODUCT($G$4:$I$4,C32:E32)+F$8</f>
        <v>5879.6008450780228</v>
      </c>
      <c r="G32">
        <f>SUMPRODUCT($G$5:$I$5,C32:E32)+G$8</f>
        <v>-62.13513990328655</v>
      </c>
      <c r="H32">
        <f>SUMPRODUCT($G$6:$I$6,C32:E32)+H26</f>
        <v>42</v>
      </c>
      <c r="I32" s="100">
        <f>SUMPRODUCT($G$4:$I$4,C32:E32)+F$9</f>
        <v>5896.7397344697065</v>
      </c>
      <c r="J32" s="100">
        <f>SUMPRODUCT($G$5:$I$5,C32:E32)+G$9</f>
        <v>-50.000129791232936</v>
      </c>
      <c r="K32" s="100">
        <f>SUMPRODUCT($G$6:$I$6,C32:E32)+H$9</f>
        <v>-95</v>
      </c>
    </row>
    <row r="33" spans="2:16" x14ac:dyDescent="0.25">
      <c r="B33" t="s">
        <v>170</v>
      </c>
      <c r="C33" s="100">
        <f>SUMPRODUCT($G$1:$I$1,I33:K33)+C$9</f>
        <v>-4866.5505000000003</v>
      </c>
      <c r="D33" s="100">
        <f>SUMPRODUCT($G$2:$I$2,I33:K33)+D$9</f>
        <v>3496.4759999999992</v>
      </c>
      <c r="E33" s="100">
        <f>SUMPRODUCT($G$3:$I$3,I33:K33)+E$9</f>
        <v>137</v>
      </c>
      <c r="F33" s="100"/>
      <c r="G33" s="100"/>
      <c r="I33" s="102">
        <f t="shared" ref="I33" si="3">(I31+I32)/2</f>
        <v>5896.7393537128792</v>
      </c>
      <c r="J33" s="100">
        <f>(J31+J32)/2</f>
        <v>-2.5174033139307994E-4</v>
      </c>
      <c r="K33" s="100">
        <v>0</v>
      </c>
      <c r="L33" s="102">
        <f>I33-I29</f>
        <v>491.39624953594466</v>
      </c>
      <c r="M33" t="s">
        <v>171</v>
      </c>
    </row>
    <row r="34" spans="2:16" x14ac:dyDescent="0.25">
      <c r="P34">
        <v>143500</v>
      </c>
    </row>
    <row r="35" spans="2:16" x14ac:dyDescent="0.25">
      <c r="P35">
        <v>150485</v>
      </c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0"/>
  <sheetViews>
    <sheetView workbookViewId="0">
      <selection activeCell="K38" sqref="K38"/>
    </sheetView>
  </sheetViews>
  <sheetFormatPr defaultRowHeight="15" x14ac:dyDescent="0.25"/>
  <cols>
    <col min="1" max="1" width="27" customWidth="1"/>
    <col min="2" max="2" width="9.5703125" bestFit="1" customWidth="1"/>
    <col min="3" max="3" width="9.85546875" customWidth="1"/>
    <col min="11" max="11" width="22.5703125" customWidth="1"/>
    <col min="12" max="12" width="13.140625" customWidth="1"/>
    <col min="13" max="13" width="10.85546875" customWidth="1"/>
  </cols>
  <sheetData>
    <row r="1" spans="1:14" x14ac:dyDescent="0.25">
      <c r="B1" t="s">
        <v>107</v>
      </c>
      <c r="C1" t="s">
        <v>118</v>
      </c>
      <c r="E1" s="17" t="s">
        <v>142</v>
      </c>
      <c r="F1">
        <f>-SIN($C$2-PI()/2)</f>
        <v>-0.81613759008016007</v>
      </c>
      <c r="G1">
        <f>-COS($C$2-PI()/2)</f>
        <v>-0.57785762438350563</v>
      </c>
      <c r="H1">
        <v>0</v>
      </c>
    </row>
    <row r="2" spans="1:14" x14ac:dyDescent="0.25">
      <c r="A2" s="17" t="s">
        <v>108</v>
      </c>
      <c r="B2" s="7">
        <v>144.69999999999999</v>
      </c>
      <c r="C2">
        <f>B2*PI()/180</f>
        <v>2.5254914276357945</v>
      </c>
      <c r="F2">
        <f>COS($C$2-PI()/2)</f>
        <v>0.57785762438350563</v>
      </c>
      <c r="G2">
        <f>-SIN($C$2-PI()/2)</f>
        <v>-0.81613759008016007</v>
      </c>
      <c r="H2">
        <v>0</v>
      </c>
      <c r="L2" t="s">
        <v>172</v>
      </c>
      <c r="M2" t="s">
        <v>173</v>
      </c>
      <c r="N2" t="s">
        <v>174</v>
      </c>
    </row>
    <row r="3" spans="1:14" x14ac:dyDescent="0.25">
      <c r="F3">
        <v>0</v>
      </c>
      <c r="G3">
        <v>0</v>
      </c>
      <c r="H3">
        <v>1</v>
      </c>
      <c r="K3" t="s">
        <v>175</v>
      </c>
      <c r="L3" s="7">
        <v>0.3</v>
      </c>
      <c r="M3">
        <f>L3*PI()/180</f>
        <v>5.2359877559829881E-3</v>
      </c>
      <c r="N3" s="7">
        <v>0</v>
      </c>
    </row>
    <row r="4" spans="1:14" x14ac:dyDescent="0.25">
      <c r="E4" s="17" t="s">
        <v>145</v>
      </c>
      <c r="F4">
        <f>-SIN($C$2-PI()/2)</f>
        <v>-0.81613759008016007</v>
      </c>
      <c r="G4">
        <f>COS($C$2-PI()/2)</f>
        <v>0.57785762438350563</v>
      </c>
      <c r="H4">
        <v>0</v>
      </c>
      <c r="K4" t="s">
        <v>176</v>
      </c>
      <c r="N4" s="7">
        <f>-1/2000</f>
        <v>-5.0000000000000001E-4</v>
      </c>
    </row>
    <row r="5" spans="1:14" x14ac:dyDescent="0.25">
      <c r="F5">
        <f>-COS($C$2-PI()/2)</f>
        <v>-0.57785762438350563</v>
      </c>
      <c r="G5">
        <f>-SIN($C$2-PI()/2)</f>
        <v>-0.81613759008016007</v>
      </c>
      <c r="H5">
        <v>0</v>
      </c>
      <c r="K5" t="s">
        <v>177</v>
      </c>
      <c r="N5" s="7">
        <f>1/20000</f>
        <v>5.0000000000000002E-5</v>
      </c>
    </row>
    <row r="6" spans="1:14" x14ac:dyDescent="0.25">
      <c r="F6">
        <v>0</v>
      </c>
      <c r="G6">
        <v>0</v>
      </c>
      <c r="H6">
        <v>1</v>
      </c>
    </row>
    <row r="7" spans="1:14" x14ac:dyDescent="0.25">
      <c r="B7" s="114" t="s">
        <v>216</v>
      </c>
      <c r="C7" s="114"/>
      <c r="D7" s="114"/>
      <c r="F7" s="114" t="s">
        <v>149</v>
      </c>
      <c r="G7" s="114"/>
      <c r="H7" s="114"/>
    </row>
    <row r="8" spans="1:14" x14ac:dyDescent="0.25">
      <c r="B8" t="s">
        <v>109</v>
      </c>
      <c r="C8" t="s">
        <v>146</v>
      </c>
      <c r="D8" t="s">
        <v>110</v>
      </c>
      <c r="F8" t="s">
        <v>111</v>
      </c>
      <c r="G8" t="s">
        <v>112</v>
      </c>
      <c r="H8" t="s">
        <v>147</v>
      </c>
    </row>
    <row r="9" spans="1:14" x14ac:dyDescent="0.25">
      <c r="A9" s="17" t="s">
        <v>178</v>
      </c>
      <c r="B9" s="7">
        <v>-54</v>
      </c>
      <c r="C9" s="7">
        <v>89</v>
      </c>
      <c r="D9" s="7">
        <v>137</v>
      </c>
      <c r="F9">
        <f>-SUMPRODUCT($F$4:$H$4,B9:D9)</f>
        <v>-95.500758434460636</v>
      </c>
      <c r="G9">
        <f>-SUMPRODUCT($F$5:$H$5,B9:D9)</f>
        <v>41.431933800424936</v>
      </c>
      <c r="H9">
        <f>-SUMPRODUCT($F$6:$H$6,B9:D9)</f>
        <v>-137</v>
      </c>
    </row>
    <row r="12" spans="1:14" x14ac:dyDescent="0.25">
      <c r="A12" s="17" t="s">
        <v>175</v>
      </c>
      <c r="B12" t="s">
        <v>106</v>
      </c>
      <c r="C12">
        <f>M3</f>
        <v>5.2359877559829881E-3</v>
      </c>
      <c r="D12" t="s">
        <v>179</v>
      </c>
      <c r="E12" s="70">
        <f>N3/1000</f>
        <v>0</v>
      </c>
    </row>
    <row r="13" spans="1:14" x14ac:dyDescent="0.25">
      <c r="A13" s="17"/>
      <c r="B13" t="s">
        <v>109</v>
      </c>
      <c r="C13" t="s">
        <v>146</v>
      </c>
      <c r="D13" t="s">
        <v>110</v>
      </c>
      <c r="F13" t="s">
        <v>111</v>
      </c>
      <c r="G13" t="s">
        <v>112</v>
      </c>
      <c r="H13" t="s">
        <v>147</v>
      </c>
    </row>
    <row r="14" spans="1:14" x14ac:dyDescent="0.25">
      <c r="B14" s="7">
        <v>0</v>
      </c>
      <c r="C14" s="7">
        <v>-30</v>
      </c>
      <c r="D14" s="7">
        <v>0</v>
      </c>
      <c r="F14">
        <f>SUMPRODUCT($F$1:$H$1,B14:D14)+$B$9</f>
        <v>-36.664271268494829</v>
      </c>
      <c r="G14">
        <f>SUMPRODUCT($F$2:$H$2,B14:D14)+$C$9</f>
        <v>113.48412770240481</v>
      </c>
      <c r="H14">
        <f>$D$9</f>
        <v>137</v>
      </c>
    </row>
    <row r="15" spans="1:14" x14ac:dyDescent="0.25">
      <c r="A15" s="99" t="s">
        <v>180</v>
      </c>
      <c r="B15" s="69">
        <v>2026.3433940151897</v>
      </c>
      <c r="C15" s="67">
        <f>C$14+(B15-B$14)*$C$12+0.5*$E$12*(B15-B$14)^2</f>
        <v>-19.390090799519456</v>
      </c>
      <c r="D15" s="67">
        <f>D$14</f>
        <v>0</v>
      </c>
      <c r="E15" s="67"/>
      <c r="F15">
        <f>SUMPRODUCT($F$1:$H$1,B15:D15)+$B$9</f>
        <v>-1696.5703024604184</v>
      </c>
      <c r="G15">
        <f>SUMPRODUCT($F$2:$H$2,B15:D15)+$C$9</f>
        <v>1275.7629618273827</v>
      </c>
      <c r="H15">
        <f t="shared" ref="H15:H18" si="0">$D$9</f>
        <v>137</v>
      </c>
    </row>
    <row r="16" spans="1:14" x14ac:dyDescent="0.25">
      <c r="A16" s="99" t="s">
        <v>181</v>
      </c>
      <c r="B16" s="69">
        <v>5402.3427861669425</v>
      </c>
      <c r="C16" s="67">
        <f>C$14+(B16-B$14)*$C$12+0.5*$E$12*(B16-B$14)^2</f>
        <v>-1.7133993180068678</v>
      </c>
      <c r="D16" s="67">
        <f t="shared" ref="D16:D18" si="1">D$14</f>
        <v>0</v>
      </c>
      <c r="E16" s="67"/>
      <c r="F16">
        <f>SUMPRODUCT($F$1:$H$1,B16:D16)+$B$9</f>
        <v>-4462.0649214297027</v>
      </c>
      <c r="G16">
        <f>SUMPRODUCT($F$2:$H$2,B16:D16)+$C$9</f>
        <v>3212.1833381100414</v>
      </c>
      <c r="H16">
        <f t="shared" si="0"/>
        <v>137</v>
      </c>
    </row>
    <row r="17" spans="1:8" x14ac:dyDescent="0.25">
      <c r="A17" s="99" t="s">
        <v>182</v>
      </c>
      <c r="B17" s="69">
        <v>5405.3431041769345</v>
      </c>
      <c r="C17" s="67">
        <f t="shared" ref="C17:C18" si="2">C$14+(B17-B$14)*$C$12+0.5*$E$12*(B17-B$14)^2</f>
        <v>-1.6976896896424947</v>
      </c>
      <c r="D17" s="67">
        <f t="shared" si="1"/>
        <v>0</v>
      </c>
      <c r="E17" s="67"/>
      <c r="F17">
        <f>SUMPRODUCT($F$1:$H$1,B17:D17)+$B$9</f>
        <v>-4464.5226716683783</v>
      </c>
      <c r="G17">
        <f>SUMPRODUCT($F$2:$H$2,B17:D17)+$C$9</f>
        <v>3213.9042735294561</v>
      </c>
      <c r="H17">
        <f t="shared" si="0"/>
        <v>137</v>
      </c>
    </row>
    <row r="18" spans="1:8" x14ac:dyDescent="0.25">
      <c r="A18" s="99" t="s">
        <v>183</v>
      </c>
      <c r="B18" s="69">
        <v>5896.7393537128792</v>
      </c>
      <c r="C18" s="67">
        <f t="shared" si="2"/>
        <v>0.87525505626367561</v>
      </c>
      <c r="D18" s="67">
        <f t="shared" si="1"/>
        <v>0</v>
      </c>
      <c r="E18" s="67"/>
      <c r="F18">
        <f>SUMPRODUCT($F$1:$H$1,B18:D18)+$B$9</f>
        <v>-4867.0564182776125</v>
      </c>
      <c r="G18">
        <f>SUMPRODUCT($F$2:$H$2,B18:D18)+$C$9</f>
        <v>3495.7614659929282</v>
      </c>
      <c r="H18">
        <f t="shared" si="0"/>
        <v>137</v>
      </c>
    </row>
    <row r="19" spans="1:8" x14ac:dyDescent="0.25">
      <c r="B19" s="67"/>
      <c r="C19" s="67"/>
      <c r="D19" s="67"/>
      <c r="E19" s="67"/>
    </row>
    <row r="20" spans="1:8" x14ac:dyDescent="0.25">
      <c r="A20" s="17" t="s">
        <v>2</v>
      </c>
      <c r="B20" s="67"/>
      <c r="C20" s="67"/>
      <c r="D20" s="67"/>
      <c r="E20" s="67"/>
    </row>
    <row r="21" spans="1:8" x14ac:dyDescent="0.25">
      <c r="A21" s="17"/>
      <c r="B21" t="s">
        <v>109</v>
      </c>
      <c r="C21" t="s">
        <v>146</v>
      </c>
      <c r="D21" t="s">
        <v>110</v>
      </c>
      <c r="F21" t="s">
        <v>111</v>
      </c>
      <c r="G21" t="s">
        <v>112</v>
      </c>
      <c r="H21" t="s">
        <v>147</v>
      </c>
    </row>
    <row r="22" spans="1:8" x14ac:dyDescent="0.25">
      <c r="A22" s="99" t="s">
        <v>184</v>
      </c>
      <c r="B22" s="69">
        <v>5910</v>
      </c>
      <c r="C22" s="67">
        <f t="shared" ref="C22:C23" si="3">C$14+(B22-B$14)*$C$12+0.5*$E$12*(B22-B$14)^2</f>
        <v>0.94468763785945953</v>
      </c>
      <c r="D22" s="67">
        <f>D$14</f>
        <v>0</v>
      </c>
      <c r="E22" s="67"/>
      <c r="F22">
        <f>SUMPRODUCT($F$1:$H$1,B22:D22)+$B$9</f>
        <v>-4877.919052327944</v>
      </c>
      <c r="G22">
        <f>SUMPRODUCT($F$2:$H$2,B22:D22)+$C$9</f>
        <v>3503.3675650143769</v>
      </c>
      <c r="H22">
        <f t="shared" ref="H22:H23" si="4">$D$9</f>
        <v>137</v>
      </c>
    </row>
    <row r="23" spans="1:8" x14ac:dyDescent="0.25">
      <c r="A23" s="99" t="s">
        <v>185</v>
      </c>
      <c r="B23" s="69">
        <v>10000</v>
      </c>
      <c r="C23" s="67">
        <f t="shared" si="3"/>
        <v>22.359877559829883</v>
      </c>
      <c r="D23" s="67">
        <f t="shared" ref="D23" si="5">D$14</f>
        <v>0</v>
      </c>
      <c r="E23" s="67"/>
      <c r="F23">
        <f>SUMPRODUCT($F$1:$H$1,B23:D23)+$B$9</f>
        <v>-8228.2967265298284</v>
      </c>
      <c r="G23">
        <f>SUMPRODUCT($F$2:$H$2,B23:D23)+$C$9</f>
        <v>5849.3275072488896</v>
      </c>
      <c r="H23">
        <f t="shared" si="4"/>
        <v>137</v>
      </c>
    </row>
    <row r="24" spans="1:8" x14ac:dyDescent="0.25">
      <c r="B24" s="67"/>
      <c r="C24" s="67"/>
      <c r="D24" s="67"/>
      <c r="E24" s="67"/>
    </row>
    <row r="25" spans="1:8" x14ac:dyDescent="0.25">
      <c r="A25" s="17" t="s">
        <v>186</v>
      </c>
      <c r="B25" t="s">
        <v>106</v>
      </c>
      <c r="C25">
        <f>C12</f>
        <v>5.2359877559829881E-3</v>
      </c>
      <c r="D25" t="s">
        <v>179</v>
      </c>
      <c r="E25" s="70">
        <f>N4/1000</f>
        <v>-4.9999999999999998E-7</v>
      </c>
    </row>
    <row r="26" spans="1:8" x14ac:dyDescent="0.25">
      <c r="A26" s="17"/>
      <c r="B26" t="s">
        <v>109</v>
      </c>
      <c r="C26" t="s">
        <v>146</v>
      </c>
      <c r="D26" t="s">
        <v>110</v>
      </c>
      <c r="F26" t="s">
        <v>111</v>
      </c>
      <c r="G26" t="s">
        <v>112</v>
      </c>
      <c r="H26" t="s">
        <v>147</v>
      </c>
    </row>
    <row r="27" spans="1:8" x14ac:dyDescent="0.25">
      <c r="B27" s="69">
        <v>10000</v>
      </c>
      <c r="C27" s="67">
        <f>C23</f>
        <v>22.359877559829883</v>
      </c>
      <c r="D27" s="67">
        <f>D23</f>
        <v>0</v>
      </c>
      <c r="E27" s="67"/>
      <c r="F27">
        <f t="shared" ref="F27:F33" si="6">SUMPRODUCT($F$1:$H$1,B27:D27)+$B$9</f>
        <v>-8228.2967265298284</v>
      </c>
      <c r="G27">
        <f t="shared" ref="G27:G33" si="7">SUMPRODUCT($F$2:$H$2,B27:D27)+$C$9</f>
        <v>5849.3275072488896</v>
      </c>
      <c r="H27">
        <f t="shared" ref="H27:H33" si="8">$D$9</f>
        <v>137</v>
      </c>
    </row>
    <row r="28" spans="1:8" x14ac:dyDescent="0.25">
      <c r="B28" s="69">
        <v>12500</v>
      </c>
      <c r="C28" s="67">
        <f t="shared" ref="C28:C33" si="9">C$27+(B28-B$27)*$C$25+0.5*$E$25*(B28-B$27)^2</f>
        <v>33.887346949787357</v>
      </c>
      <c r="D28" s="67">
        <f t="shared" ref="D28:D33" si="10">D$27</f>
        <v>0</v>
      </c>
      <c r="E28" s="67"/>
      <c r="F28">
        <f t="shared" si="6"/>
        <v>-10275.301937807064</v>
      </c>
      <c r="G28">
        <f t="shared" si="7"/>
        <v>7284.5635671200107</v>
      </c>
      <c r="H28">
        <f t="shared" si="8"/>
        <v>137</v>
      </c>
    </row>
    <row r="29" spans="1:8" x14ac:dyDescent="0.25">
      <c r="A29" s="99" t="s">
        <v>187</v>
      </c>
      <c r="B29" s="69">
        <v>15000</v>
      </c>
      <c r="C29" s="67">
        <f t="shared" si="9"/>
        <v>42.289816339744824</v>
      </c>
      <c r="D29" s="67">
        <f t="shared" si="10"/>
        <v>0</v>
      </c>
      <c r="E29" s="67"/>
      <c r="F29">
        <f t="shared" si="6"/>
        <v>-12320.501344008102</v>
      </c>
      <c r="G29">
        <f t="shared" si="7"/>
        <v>8722.3500569601329</v>
      </c>
      <c r="H29">
        <f t="shared" si="8"/>
        <v>137</v>
      </c>
    </row>
    <row r="30" spans="1:8" x14ac:dyDescent="0.25">
      <c r="A30" s="99"/>
      <c r="B30" s="69">
        <v>18000</v>
      </c>
      <c r="C30" s="67">
        <f t="shared" si="9"/>
        <v>48.247779607693786</v>
      </c>
      <c r="D30" s="67">
        <f t="shared" si="10"/>
        <v>0</v>
      </c>
      <c r="E30" s="67"/>
      <c r="F30">
        <f t="shared" si="6"/>
        <v>-14772.356968748763</v>
      </c>
      <c r="G30">
        <f t="shared" si="7"/>
        <v>10451.060412327359</v>
      </c>
      <c r="H30">
        <f t="shared" si="8"/>
        <v>137</v>
      </c>
    </row>
    <row r="31" spans="1:8" x14ac:dyDescent="0.25">
      <c r="A31" s="99"/>
      <c r="B31" s="69">
        <v>21000</v>
      </c>
      <c r="C31" s="67">
        <f t="shared" si="9"/>
        <v>49.705742875642756</v>
      </c>
      <c r="D31" s="67">
        <f t="shared" si="10"/>
        <v>0</v>
      </c>
      <c r="E31" s="67"/>
      <c r="F31">
        <f t="shared" si="6"/>
        <v>-17221.612234179698</v>
      </c>
      <c r="G31">
        <f t="shared" si="7"/>
        <v>12183.443386849947</v>
      </c>
      <c r="H31">
        <f t="shared" si="8"/>
        <v>137</v>
      </c>
    </row>
    <row r="32" spans="1:8" x14ac:dyDescent="0.25">
      <c r="A32" s="99" t="s">
        <v>188</v>
      </c>
      <c r="B32" s="69">
        <v>24500</v>
      </c>
      <c r="C32" s="67">
        <f t="shared" si="9"/>
        <v>45.719200021583205</v>
      </c>
      <c r="D32" s="67">
        <f t="shared" si="10"/>
        <v>0</v>
      </c>
      <c r="E32" s="67"/>
      <c r="F32">
        <f t="shared" si="6"/>
        <v>-20075.790145277108</v>
      </c>
      <c r="G32">
        <f t="shared" si="7"/>
        <v>14209.198639669879</v>
      </c>
      <c r="H32">
        <f t="shared" si="8"/>
        <v>137</v>
      </c>
    </row>
    <row r="33" spans="1:8" x14ac:dyDescent="0.25">
      <c r="A33" s="99" t="s">
        <v>189</v>
      </c>
      <c r="B33" s="69">
        <v>28000</v>
      </c>
      <c r="C33" s="67">
        <f t="shared" si="9"/>
        <v>35.607657167523669</v>
      </c>
      <c r="D33" s="67">
        <f t="shared" si="10"/>
        <v>0</v>
      </c>
      <c r="E33" s="67"/>
      <c r="F33">
        <f t="shared" si="6"/>
        <v>-22926.428678425167</v>
      </c>
      <c r="G33">
        <f t="shared" si="7"/>
        <v>16239.952735229053</v>
      </c>
      <c r="H33">
        <f t="shared" si="8"/>
        <v>137</v>
      </c>
    </row>
    <row r="34" spans="1:8" x14ac:dyDescent="0.25">
      <c r="B34" s="67"/>
      <c r="C34" s="67"/>
      <c r="D34" s="67"/>
      <c r="E34" s="67"/>
    </row>
    <row r="35" spans="1:8" x14ac:dyDescent="0.25">
      <c r="A35" s="101" t="s">
        <v>190</v>
      </c>
      <c r="B35" t="s">
        <v>106</v>
      </c>
      <c r="C35" s="70">
        <f>C$25+E$25*(B33-B$27)</f>
        <v>-3.7640122440170112E-3</v>
      </c>
      <c r="D35" t="s">
        <v>179</v>
      </c>
      <c r="E35" s="103">
        <v>0</v>
      </c>
    </row>
    <row r="36" spans="1:8" x14ac:dyDescent="0.25">
      <c r="B36" t="s">
        <v>109</v>
      </c>
      <c r="C36" t="s">
        <v>146</v>
      </c>
      <c r="D36" t="s">
        <v>110</v>
      </c>
      <c r="F36" t="s">
        <v>111</v>
      </c>
      <c r="G36" t="s">
        <v>112</v>
      </c>
      <c r="H36" t="s">
        <v>147</v>
      </c>
    </row>
    <row r="37" spans="1:8" x14ac:dyDescent="0.25">
      <c r="B37" s="69">
        <f>B33</f>
        <v>28000</v>
      </c>
      <c r="C37" s="67">
        <f>C33</f>
        <v>35.607657167523669</v>
      </c>
      <c r="D37" s="67">
        <f>D33</f>
        <v>0</v>
      </c>
      <c r="E37" s="67"/>
      <c r="F37">
        <f>SUMPRODUCT($F$1:$H$1,B37:D37)+$B$9</f>
        <v>-22926.428678425167</v>
      </c>
      <c r="G37">
        <f>SUMPRODUCT($F$2:$H$2,B37:D37)+$C$9</f>
        <v>16239.952735229053</v>
      </c>
      <c r="H37">
        <f t="shared" ref="H37:H38" si="11">$D$9</f>
        <v>137</v>
      </c>
    </row>
    <row r="38" spans="1:8" x14ac:dyDescent="0.25">
      <c r="B38" s="69">
        <v>38000</v>
      </c>
      <c r="C38" s="67">
        <f>C$37+(B38-B$37)*$C$35+0.5*$E$35*(B38-B$37)^2</f>
        <v>-2.0324652726464407</v>
      </c>
      <c r="D38" s="67">
        <f>D$37</f>
        <v>0</v>
      </c>
      <c r="E38" s="67"/>
      <c r="F38">
        <f>SUMPRODUCT($F$1:$H$1,B38:D38)+$B$9</f>
        <v>-31066.05394749199</v>
      </c>
      <c r="G38">
        <f>SUMPRODUCT($F$2:$H$2,B38:D38)+$C$9</f>
        <v>22049.248497882752</v>
      </c>
      <c r="H38">
        <f t="shared" si="11"/>
        <v>137</v>
      </c>
    </row>
    <row r="39" spans="1:8" x14ac:dyDescent="0.25">
      <c r="B39" s="67"/>
      <c r="C39" s="67"/>
      <c r="D39" s="67"/>
      <c r="E39" s="67"/>
    </row>
    <row r="40" spans="1:8" x14ac:dyDescent="0.25">
      <c r="A40" s="101" t="s">
        <v>191</v>
      </c>
      <c r="B40" t="s">
        <v>106</v>
      </c>
      <c r="C40" s="70">
        <f>C35</f>
        <v>-3.7640122440170112E-3</v>
      </c>
      <c r="D40" t="s">
        <v>179</v>
      </c>
      <c r="E40" s="70">
        <f>N5/1000</f>
        <v>5.0000000000000004E-8</v>
      </c>
    </row>
    <row r="41" spans="1:8" x14ac:dyDescent="0.25">
      <c r="B41" t="s">
        <v>109</v>
      </c>
      <c r="C41" t="s">
        <v>146</v>
      </c>
      <c r="D41" t="s">
        <v>110</v>
      </c>
      <c r="F41" t="s">
        <v>111</v>
      </c>
      <c r="G41" t="s">
        <v>112</v>
      </c>
      <c r="H41" t="s">
        <v>147</v>
      </c>
    </row>
    <row r="42" spans="1:8" x14ac:dyDescent="0.25">
      <c r="B42" s="69">
        <f>B38</f>
        <v>38000</v>
      </c>
      <c r="C42" s="67">
        <f t="shared" ref="C42:D42" si="12">C38</f>
        <v>-2.0324652726464407</v>
      </c>
      <c r="D42" s="67">
        <f t="shared" si="12"/>
        <v>0</v>
      </c>
      <c r="E42" s="67"/>
      <c r="F42">
        <f>SUMPRODUCT($F$1:$H$1,B42:D42)+$B$9</f>
        <v>-31066.05394749199</v>
      </c>
      <c r="G42">
        <f>SUMPRODUCT($F$2:$H$2,B42:D42)+$C$9</f>
        <v>22049.248497882752</v>
      </c>
      <c r="H42">
        <f t="shared" ref="H42:H53" si="13">$D$9</f>
        <v>137</v>
      </c>
    </row>
    <row r="43" spans="1:8" x14ac:dyDescent="0.25">
      <c r="B43" s="69">
        <v>40000</v>
      </c>
      <c r="C43" s="67">
        <f>C$42+(B43-B$42)*$C$40+0.5*$E$40*(B43-B$42)^2</f>
        <v>-9.4604897606804634</v>
      </c>
      <c r="D43" s="67">
        <f>D$42</f>
        <v>0</v>
      </c>
      <c r="E43" s="67"/>
      <c r="F43">
        <f t="shared" ref="F43:F53" si="14">SUMPRODUCT($F$1:$H$1,B43:D43)+$B$9</f>
        <v>-32694.036787067791</v>
      </c>
      <c r="G43">
        <f t="shared" ref="G43:G53" si="15">SUMPRODUCT($F$2:$H$2,B43:D43)+$C$9</f>
        <v>23211.026036654486</v>
      </c>
      <c r="H43">
        <f t="shared" si="13"/>
        <v>137</v>
      </c>
    </row>
    <row r="44" spans="1:8" x14ac:dyDescent="0.25">
      <c r="B44" s="69">
        <v>50000</v>
      </c>
      <c r="C44" s="67">
        <f t="shared" ref="C44:C53" si="16">C$42+(B44-B$42)*$C$40+0.5*$E$40*(B44-B$42)^2</f>
        <v>-43.600612200850577</v>
      </c>
      <c r="D44" s="67">
        <f t="shared" ref="D44:D53" si="17">D$42</f>
        <v>0</v>
      </c>
      <c r="E44" s="67"/>
      <c r="F44">
        <f t="shared" si="14"/>
        <v>-40835.68455781995</v>
      </c>
      <c r="G44">
        <f t="shared" si="15"/>
        <v>29017.465317742903</v>
      </c>
      <c r="H44">
        <f t="shared" si="13"/>
        <v>137</v>
      </c>
    </row>
    <row r="45" spans="1:8" x14ac:dyDescent="0.25">
      <c r="B45" s="69">
        <v>60000</v>
      </c>
      <c r="C45" s="67">
        <f t="shared" si="16"/>
        <v>-72.74073464102068</v>
      </c>
      <c r="D45" s="67">
        <f t="shared" si="17"/>
        <v>0</v>
      </c>
      <c r="E45" s="67"/>
      <c r="F45">
        <f t="shared" si="14"/>
        <v>-48980.221616694034</v>
      </c>
      <c r="G45">
        <f t="shared" si="15"/>
        <v>34819.823910880921</v>
      </c>
      <c r="H45">
        <f t="shared" si="13"/>
        <v>137</v>
      </c>
    </row>
    <row r="46" spans="1:8" x14ac:dyDescent="0.25">
      <c r="B46" s="69">
        <v>70000</v>
      </c>
      <c r="C46" s="67">
        <f t="shared" si="16"/>
        <v>-96.880857081190811</v>
      </c>
      <c r="D46" s="67">
        <f t="shared" si="17"/>
        <v>0</v>
      </c>
      <c r="E46" s="67"/>
      <c r="F46">
        <f t="shared" si="14"/>
        <v>-57127.647963690033</v>
      </c>
      <c r="G46">
        <f t="shared" si="15"/>
        <v>40618.101816068542</v>
      </c>
      <c r="H46">
        <f t="shared" si="13"/>
        <v>137</v>
      </c>
    </row>
    <row r="47" spans="1:8" x14ac:dyDescent="0.25">
      <c r="A47" s="99" t="s">
        <v>192</v>
      </c>
      <c r="B47" s="69">
        <v>80000</v>
      </c>
      <c r="C47" s="67">
        <f t="shared" si="16"/>
        <v>-116.02097952136091</v>
      </c>
      <c r="D47" s="67">
        <f t="shared" si="17"/>
        <v>0</v>
      </c>
      <c r="E47" s="67"/>
      <c r="F47">
        <f t="shared" si="14"/>
        <v>-65277.963598807939</v>
      </c>
      <c r="G47">
        <f t="shared" si="15"/>
        <v>46412.299033305753</v>
      </c>
      <c r="H47">
        <f t="shared" si="13"/>
        <v>137</v>
      </c>
    </row>
    <row r="48" spans="1:8" x14ac:dyDescent="0.25">
      <c r="B48" s="69">
        <v>90000</v>
      </c>
      <c r="C48" s="67">
        <f t="shared" si="16"/>
        <v>-130.16110196153102</v>
      </c>
      <c r="D48" s="67">
        <f t="shared" si="17"/>
        <v>0</v>
      </c>
      <c r="E48" s="67"/>
      <c r="F48">
        <f t="shared" si="14"/>
        <v>-73431.168522047781</v>
      </c>
      <c r="G48">
        <f t="shared" si="15"/>
        <v>52202.415562592563</v>
      </c>
      <c r="H48">
        <f t="shared" si="13"/>
        <v>137</v>
      </c>
    </row>
    <row r="49" spans="1:8" x14ac:dyDescent="0.25">
      <c r="B49" s="69">
        <v>100000</v>
      </c>
      <c r="C49" s="67">
        <f t="shared" si="16"/>
        <v>-139.30122440170112</v>
      </c>
      <c r="D49" s="67">
        <f t="shared" si="17"/>
        <v>0</v>
      </c>
      <c r="E49" s="67"/>
      <c r="F49">
        <f t="shared" si="14"/>
        <v>-81587.262733409516</v>
      </c>
      <c r="G49">
        <f t="shared" si="15"/>
        <v>57988.451403928979</v>
      </c>
      <c r="H49">
        <f t="shared" si="13"/>
        <v>137</v>
      </c>
    </row>
    <row r="50" spans="1:8" x14ac:dyDescent="0.25">
      <c r="B50" s="69">
        <v>110000</v>
      </c>
      <c r="C50" s="67">
        <f t="shared" si="16"/>
        <v>-143.44134684187122</v>
      </c>
      <c r="D50" s="67">
        <f t="shared" si="17"/>
        <v>0</v>
      </c>
      <c r="E50" s="67"/>
      <c r="F50">
        <f t="shared" si="14"/>
        <v>-89746.246232893187</v>
      </c>
      <c r="G50">
        <f t="shared" si="15"/>
        <v>63770.406557314993</v>
      </c>
      <c r="H50">
        <f t="shared" si="13"/>
        <v>137</v>
      </c>
    </row>
    <row r="51" spans="1:8" x14ac:dyDescent="0.25">
      <c r="B51" s="69">
        <v>120000</v>
      </c>
      <c r="C51" s="67">
        <f t="shared" si="16"/>
        <v>-142.58146928204133</v>
      </c>
      <c r="D51" s="67">
        <f t="shared" si="17"/>
        <v>0</v>
      </c>
      <c r="E51" s="67"/>
      <c r="F51">
        <f t="shared" si="14"/>
        <v>-97908.11902049878</v>
      </c>
      <c r="G51">
        <f t="shared" si="15"/>
        <v>69548.281022750612</v>
      </c>
      <c r="H51">
        <f t="shared" si="13"/>
        <v>137</v>
      </c>
    </row>
    <row r="52" spans="1:8" x14ac:dyDescent="0.25">
      <c r="B52" s="69">
        <v>130000</v>
      </c>
      <c r="C52" s="67">
        <f t="shared" si="16"/>
        <v>-136.72159172221143</v>
      </c>
      <c r="D52" s="67">
        <f t="shared" si="17"/>
        <v>0</v>
      </c>
      <c r="E52" s="67"/>
      <c r="F52">
        <f t="shared" si="14"/>
        <v>-106072.88109622628</v>
      </c>
      <c r="G52">
        <f t="shared" si="15"/>
        <v>75322.074800235816</v>
      </c>
      <c r="H52">
        <f t="shared" si="13"/>
        <v>137</v>
      </c>
    </row>
    <row r="53" spans="1:8" x14ac:dyDescent="0.25">
      <c r="A53" s="99" t="s">
        <v>193</v>
      </c>
      <c r="B53" s="69">
        <v>143500</v>
      </c>
      <c r="C53" s="67">
        <f t="shared" si="16"/>
        <v>-120.8795070164411</v>
      </c>
      <c r="D53" s="67">
        <f t="shared" si="17"/>
        <v>0</v>
      </c>
      <c r="E53" s="67"/>
      <c r="F53">
        <f t="shared" si="14"/>
        <v>-117099.8930317418</v>
      </c>
      <c r="G53">
        <f t="shared" si="15"/>
        <v>83110.223408579535</v>
      </c>
      <c r="H53">
        <f t="shared" si="13"/>
        <v>137</v>
      </c>
    </row>
    <row r="54" spans="1:8" x14ac:dyDescent="0.25">
      <c r="B54" s="67"/>
      <c r="C54" s="67"/>
      <c r="D54" s="67"/>
      <c r="E54" s="67"/>
    </row>
    <row r="55" spans="1:8" x14ac:dyDescent="0.25">
      <c r="A55" s="17" t="s">
        <v>126</v>
      </c>
      <c r="B55" t="s">
        <v>106</v>
      </c>
      <c r="C55" s="70">
        <f>C$40+E$40*(B53-B$42)</f>
        <v>1.510987755982989E-3</v>
      </c>
      <c r="D55" t="s">
        <v>179</v>
      </c>
      <c r="E55" s="103">
        <v>0</v>
      </c>
    </row>
    <row r="56" spans="1:8" x14ac:dyDescent="0.25">
      <c r="B56" t="s">
        <v>109</v>
      </c>
      <c r="C56" t="s">
        <v>146</v>
      </c>
      <c r="D56" t="s">
        <v>110</v>
      </c>
      <c r="F56" t="s">
        <v>111</v>
      </c>
      <c r="G56" t="s">
        <v>112</v>
      </c>
      <c r="H56" t="s">
        <v>147</v>
      </c>
    </row>
    <row r="57" spans="1:8" x14ac:dyDescent="0.25">
      <c r="B57" s="67">
        <f>B53</f>
        <v>143500</v>
      </c>
      <c r="C57" s="67">
        <f t="shared" ref="C57:D57" si="18">C53</f>
        <v>-120.8795070164411</v>
      </c>
      <c r="D57" s="67">
        <f t="shared" si="18"/>
        <v>0</v>
      </c>
      <c r="E57" s="67"/>
      <c r="F57">
        <f t="shared" ref="F57:F59" si="19">SUMPRODUCT($F$1:$H$1,B57:D57)+$B$9</f>
        <v>-117099.8930317418</v>
      </c>
      <c r="G57">
        <f t="shared" ref="G57:G59" si="20">SUMPRODUCT($F$2:$H$2,B57:D57)+$C$9</f>
        <v>83110.223408579535</v>
      </c>
      <c r="H57">
        <f t="shared" ref="H57:H59" si="21">$D$9</f>
        <v>137</v>
      </c>
    </row>
    <row r="58" spans="1:8" x14ac:dyDescent="0.25">
      <c r="A58" t="s">
        <v>194</v>
      </c>
      <c r="B58" s="67">
        <v>153500</v>
      </c>
      <c r="C58" s="67">
        <f>C$57+(B58-B$57)*$C$55+0.5*$E$55*(B58-B$57)^2</f>
        <v>-105.7696294566112</v>
      </c>
      <c r="D58" s="67">
        <f>D$42</f>
        <v>0</v>
      </c>
      <c r="E58" s="67"/>
      <c r="F58">
        <f t="shared" si="19"/>
        <v>-125270.00029049485</v>
      </c>
      <c r="G58">
        <f t="shared" si="20"/>
        <v>88876.467913356508</v>
      </c>
      <c r="H58">
        <f t="shared" si="21"/>
        <v>137</v>
      </c>
    </row>
    <row r="59" spans="1:8" x14ac:dyDescent="0.25">
      <c r="A59" t="s">
        <v>195</v>
      </c>
      <c r="B59" s="67">
        <v>157000</v>
      </c>
      <c r="C59" s="67">
        <f>C$57+(B59-B$57)*$C$55+0.5*$E$55*(B59-B$14)^2</f>
        <v>-100.48117231067074</v>
      </c>
      <c r="D59" s="67">
        <f>D$42</f>
        <v>0</v>
      </c>
      <c r="E59" s="67"/>
      <c r="F59">
        <f t="shared" si="19"/>
        <v>-128129.53783105841</v>
      </c>
      <c r="G59">
        <f t="shared" si="20"/>
        <v>90894.653490028446</v>
      </c>
      <c r="H59">
        <f t="shared" si="21"/>
        <v>137</v>
      </c>
    </row>
    <row r="60" spans="1:8" x14ac:dyDescent="0.25">
      <c r="B60" s="67"/>
      <c r="C60" s="67"/>
      <c r="D60" s="67"/>
      <c r="E60" s="67"/>
    </row>
    <row r="61" spans="1:8" x14ac:dyDescent="0.25">
      <c r="B61" s="67"/>
      <c r="C61" s="67"/>
      <c r="D61" s="67"/>
      <c r="E61" s="67"/>
    </row>
    <row r="62" spans="1:8" x14ac:dyDescent="0.25">
      <c r="B62" s="67"/>
      <c r="C62" s="67"/>
      <c r="D62" s="67"/>
      <c r="E62" s="67"/>
    </row>
    <row r="63" spans="1:8" x14ac:dyDescent="0.25">
      <c r="B63" s="67"/>
      <c r="C63" s="67"/>
      <c r="D63" s="67"/>
      <c r="E63" s="67"/>
    </row>
    <row r="64" spans="1:8" x14ac:dyDescent="0.25">
      <c r="B64" s="67"/>
      <c r="C64" s="67"/>
      <c r="D64" s="67"/>
      <c r="E64" s="67"/>
    </row>
    <row r="65" spans="2:5" x14ac:dyDescent="0.25">
      <c r="B65" s="67"/>
      <c r="C65" s="67"/>
      <c r="D65" s="67"/>
      <c r="E65" s="67"/>
    </row>
    <row r="66" spans="2:5" x14ac:dyDescent="0.25">
      <c r="B66" s="67"/>
      <c r="C66" s="67"/>
      <c r="D66" s="67"/>
      <c r="E66" s="67"/>
    </row>
    <row r="67" spans="2:5" x14ac:dyDescent="0.25">
      <c r="B67" s="67"/>
      <c r="C67" s="67"/>
      <c r="D67" s="67"/>
      <c r="E67" s="67"/>
    </row>
    <row r="68" spans="2:5" x14ac:dyDescent="0.25">
      <c r="B68" s="67"/>
      <c r="C68" s="67"/>
      <c r="D68" s="67"/>
      <c r="E68" s="67"/>
    </row>
    <row r="69" spans="2:5" x14ac:dyDescent="0.25">
      <c r="B69" s="67"/>
      <c r="C69" s="67"/>
      <c r="D69" s="67"/>
      <c r="E69" s="67"/>
    </row>
    <row r="70" spans="2:5" x14ac:dyDescent="0.25">
      <c r="B70" s="67"/>
      <c r="C70" s="67"/>
      <c r="D70" s="67"/>
      <c r="E70" s="67"/>
    </row>
    <row r="71" spans="2:5" x14ac:dyDescent="0.25">
      <c r="B71" s="67"/>
      <c r="C71" s="67"/>
      <c r="D71" s="67"/>
      <c r="E71" s="67"/>
    </row>
    <row r="72" spans="2:5" x14ac:dyDescent="0.25">
      <c r="B72" s="67"/>
      <c r="C72" s="67"/>
      <c r="D72" s="67"/>
      <c r="E72" s="67"/>
    </row>
    <row r="73" spans="2:5" x14ac:dyDescent="0.25">
      <c r="B73" s="67"/>
      <c r="C73" s="67"/>
      <c r="D73" s="67"/>
      <c r="E73" s="67"/>
    </row>
    <row r="74" spans="2:5" x14ac:dyDescent="0.25">
      <c r="B74" s="67"/>
      <c r="C74" s="67"/>
      <c r="D74" s="67"/>
      <c r="E74" s="67"/>
    </row>
    <row r="75" spans="2:5" x14ac:dyDescent="0.25">
      <c r="B75" s="67"/>
      <c r="C75" s="67"/>
      <c r="D75" s="67"/>
      <c r="E75" s="67"/>
    </row>
    <row r="76" spans="2:5" x14ac:dyDescent="0.25">
      <c r="B76" s="67"/>
      <c r="C76" s="67"/>
      <c r="D76" s="67"/>
      <c r="E76" s="67"/>
    </row>
    <row r="77" spans="2:5" x14ac:dyDescent="0.25">
      <c r="B77" s="67"/>
      <c r="C77" s="67"/>
      <c r="D77" s="67"/>
      <c r="E77" s="67"/>
    </row>
    <row r="78" spans="2:5" x14ac:dyDescent="0.25">
      <c r="B78" s="67"/>
      <c r="C78" s="67"/>
      <c r="D78" s="67"/>
      <c r="E78" s="67"/>
    </row>
    <row r="79" spans="2:5" x14ac:dyDescent="0.25">
      <c r="B79" s="67"/>
      <c r="C79" s="67"/>
      <c r="D79" s="67"/>
      <c r="E79" s="67"/>
    </row>
    <row r="80" spans="2:5" x14ac:dyDescent="0.25">
      <c r="B80" s="67"/>
      <c r="C80" s="67"/>
      <c r="D80" s="67"/>
      <c r="E80" s="67"/>
    </row>
    <row r="81" spans="2:5" x14ac:dyDescent="0.25">
      <c r="B81" s="67"/>
      <c r="C81" s="67"/>
      <c r="D81" s="67"/>
      <c r="E81" s="67"/>
    </row>
    <row r="82" spans="2:5" x14ac:dyDescent="0.25">
      <c r="B82" s="67"/>
      <c r="C82" s="67"/>
      <c r="D82" s="67"/>
      <c r="E82" s="67"/>
    </row>
    <row r="83" spans="2:5" x14ac:dyDescent="0.25">
      <c r="B83" s="67"/>
      <c r="C83" s="67"/>
      <c r="D83" s="67"/>
      <c r="E83" s="67"/>
    </row>
    <row r="84" spans="2:5" x14ac:dyDescent="0.25">
      <c r="B84" s="67"/>
      <c r="C84" s="67"/>
      <c r="D84" s="67"/>
      <c r="E84" s="67"/>
    </row>
    <row r="85" spans="2:5" x14ac:dyDescent="0.25">
      <c r="B85" s="67"/>
      <c r="C85" s="67"/>
      <c r="D85" s="67"/>
      <c r="E85" s="67"/>
    </row>
    <row r="86" spans="2:5" x14ac:dyDescent="0.25">
      <c r="B86" s="67"/>
      <c r="C86" s="67"/>
      <c r="D86" s="67"/>
      <c r="E86" s="67"/>
    </row>
    <row r="87" spans="2:5" x14ac:dyDescent="0.25">
      <c r="B87" s="67"/>
      <c r="C87" s="67"/>
      <c r="D87" s="67"/>
      <c r="E87" s="67"/>
    </row>
    <row r="88" spans="2:5" x14ac:dyDescent="0.25">
      <c r="B88" s="67"/>
      <c r="C88" s="67"/>
      <c r="D88" s="67"/>
      <c r="E88" s="67"/>
    </row>
    <row r="89" spans="2:5" x14ac:dyDescent="0.25">
      <c r="B89" s="67"/>
      <c r="C89" s="67"/>
      <c r="D89" s="67"/>
      <c r="E89" s="67"/>
    </row>
    <row r="90" spans="2:5" x14ac:dyDescent="0.25">
      <c r="B90" s="67"/>
      <c r="C90" s="67"/>
      <c r="D90" s="67"/>
      <c r="E90" s="67"/>
    </row>
    <row r="91" spans="2:5" x14ac:dyDescent="0.25">
      <c r="B91" s="67"/>
      <c r="C91" s="67"/>
      <c r="D91" s="67"/>
      <c r="E91" s="67"/>
    </row>
    <row r="92" spans="2:5" x14ac:dyDescent="0.25">
      <c r="B92" s="67"/>
      <c r="C92" s="67"/>
      <c r="D92" s="67"/>
      <c r="E92" s="67"/>
    </row>
    <row r="93" spans="2:5" x14ac:dyDescent="0.25">
      <c r="B93" s="67"/>
      <c r="C93" s="67"/>
      <c r="D93" s="67"/>
      <c r="E93" s="67"/>
    </row>
    <row r="94" spans="2:5" x14ac:dyDescent="0.25">
      <c r="B94" s="67"/>
      <c r="C94" s="67"/>
      <c r="D94" s="67"/>
      <c r="E94" s="67"/>
    </row>
    <row r="95" spans="2:5" x14ac:dyDescent="0.25">
      <c r="B95" s="67"/>
      <c r="C95" s="67"/>
      <c r="D95" s="67"/>
      <c r="E95" s="67"/>
    </row>
    <row r="96" spans="2:5" x14ac:dyDescent="0.25">
      <c r="B96" s="67"/>
      <c r="C96" s="67"/>
      <c r="D96" s="67"/>
      <c r="E96" s="67"/>
    </row>
    <row r="97" spans="2:5" x14ac:dyDescent="0.25">
      <c r="B97" s="67"/>
      <c r="C97" s="67"/>
      <c r="D97" s="67"/>
      <c r="E97" s="67"/>
    </row>
    <row r="98" spans="2:5" x14ac:dyDescent="0.25">
      <c r="B98" s="67"/>
      <c r="C98" s="67"/>
      <c r="D98" s="67"/>
      <c r="E98" s="67"/>
    </row>
    <row r="99" spans="2:5" x14ac:dyDescent="0.25">
      <c r="B99" s="67"/>
      <c r="C99" s="67"/>
      <c r="D99" s="67"/>
      <c r="E99" s="67"/>
    </row>
    <row r="100" spans="2:5" x14ac:dyDescent="0.25">
      <c r="B100" s="67"/>
      <c r="C100" s="67"/>
      <c r="D100" s="67"/>
      <c r="E100" s="67"/>
    </row>
    <row r="101" spans="2:5" x14ac:dyDescent="0.25">
      <c r="B101" s="67"/>
      <c r="C101" s="67"/>
      <c r="D101" s="67"/>
      <c r="E101" s="67"/>
    </row>
    <row r="102" spans="2:5" x14ac:dyDescent="0.25">
      <c r="B102" s="67"/>
      <c r="C102" s="67"/>
      <c r="D102" s="67"/>
      <c r="E102" s="67"/>
    </row>
    <row r="103" spans="2:5" x14ac:dyDescent="0.25">
      <c r="B103" s="67"/>
      <c r="C103" s="67"/>
      <c r="D103" s="67"/>
      <c r="E103" s="67"/>
    </row>
    <row r="104" spans="2:5" x14ac:dyDescent="0.25">
      <c r="B104" s="67"/>
      <c r="C104" s="67"/>
      <c r="D104" s="67"/>
      <c r="E104" s="67"/>
    </row>
    <row r="105" spans="2:5" x14ac:dyDescent="0.25">
      <c r="B105" s="67"/>
      <c r="C105" s="67"/>
      <c r="D105" s="67"/>
      <c r="E105" s="67"/>
    </row>
    <row r="106" spans="2:5" x14ac:dyDescent="0.25">
      <c r="B106" s="67"/>
      <c r="C106" s="67"/>
      <c r="D106" s="67"/>
      <c r="E106" s="67"/>
    </row>
    <row r="107" spans="2:5" x14ac:dyDescent="0.25">
      <c r="B107" s="67"/>
      <c r="C107" s="67"/>
      <c r="D107" s="67"/>
      <c r="E107" s="67"/>
    </row>
    <row r="108" spans="2:5" x14ac:dyDescent="0.25">
      <c r="B108" s="67"/>
      <c r="C108" s="67"/>
      <c r="D108" s="67"/>
      <c r="E108" s="67"/>
    </row>
    <row r="109" spans="2:5" x14ac:dyDescent="0.25">
      <c r="B109" s="67"/>
      <c r="C109" s="67"/>
      <c r="D109" s="67"/>
      <c r="E109" s="67"/>
    </row>
    <row r="110" spans="2:5" x14ac:dyDescent="0.25">
      <c r="B110" s="67"/>
      <c r="C110" s="67"/>
      <c r="D110" s="67"/>
      <c r="E110" s="67"/>
    </row>
    <row r="111" spans="2:5" x14ac:dyDescent="0.25">
      <c r="B111" s="67"/>
      <c r="C111" s="67"/>
      <c r="D111" s="67"/>
      <c r="E111" s="67"/>
    </row>
    <row r="112" spans="2:5" x14ac:dyDescent="0.25">
      <c r="B112" s="67"/>
      <c r="C112" s="67"/>
      <c r="D112" s="67"/>
      <c r="E112" s="67"/>
    </row>
    <row r="113" spans="2:5" x14ac:dyDescent="0.25">
      <c r="B113" s="67"/>
      <c r="C113" s="67"/>
      <c r="D113" s="67"/>
      <c r="E113" s="67"/>
    </row>
    <row r="114" spans="2:5" x14ac:dyDescent="0.25">
      <c r="B114" s="67"/>
      <c r="C114" s="67"/>
      <c r="D114" s="67"/>
      <c r="E114" s="67"/>
    </row>
    <row r="115" spans="2:5" x14ac:dyDescent="0.25">
      <c r="B115" s="67"/>
      <c r="C115" s="67"/>
      <c r="D115" s="67"/>
      <c r="E115" s="67"/>
    </row>
    <row r="116" spans="2:5" x14ac:dyDescent="0.25">
      <c r="B116" s="67"/>
      <c r="C116" s="67"/>
      <c r="D116" s="67"/>
      <c r="E116" s="67"/>
    </row>
    <row r="117" spans="2:5" x14ac:dyDescent="0.25">
      <c r="B117" s="67"/>
      <c r="C117" s="67"/>
      <c r="D117" s="67"/>
      <c r="E117" s="67"/>
    </row>
    <row r="118" spans="2:5" x14ac:dyDescent="0.25">
      <c r="B118" s="67"/>
      <c r="C118" s="67"/>
      <c r="D118" s="67"/>
      <c r="E118" s="67"/>
    </row>
    <row r="119" spans="2:5" x14ac:dyDescent="0.25">
      <c r="B119" s="67"/>
      <c r="C119" s="67"/>
      <c r="D119" s="67"/>
      <c r="E119" s="67"/>
    </row>
    <row r="120" spans="2:5" x14ac:dyDescent="0.25">
      <c r="B120" s="67"/>
      <c r="C120" s="67"/>
      <c r="D120" s="67"/>
      <c r="E120" s="67"/>
    </row>
    <row r="121" spans="2:5" x14ac:dyDescent="0.25">
      <c r="B121" s="67"/>
      <c r="C121" s="67"/>
      <c r="D121" s="67"/>
      <c r="E121" s="67"/>
    </row>
    <row r="122" spans="2:5" x14ac:dyDescent="0.25">
      <c r="B122" s="67"/>
      <c r="C122" s="67"/>
      <c r="D122" s="67"/>
      <c r="E122" s="67"/>
    </row>
    <row r="123" spans="2:5" x14ac:dyDescent="0.25">
      <c r="B123" s="67"/>
      <c r="C123" s="67"/>
      <c r="D123" s="67"/>
      <c r="E123" s="67"/>
    </row>
    <row r="124" spans="2:5" x14ac:dyDescent="0.25">
      <c r="B124" s="67"/>
      <c r="C124" s="67"/>
      <c r="D124" s="67"/>
      <c r="E124" s="67"/>
    </row>
    <row r="125" spans="2:5" x14ac:dyDescent="0.25">
      <c r="B125" s="67"/>
      <c r="C125" s="67"/>
      <c r="D125" s="67"/>
      <c r="E125" s="67"/>
    </row>
    <row r="126" spans="2:5" x14ac:dyDescent="0.25">
      <c r="B126" s="67"/>
      <c r="C126" s="67"/>
      <c r="D126" s="67"/>
      <c r="E126" s="67"/>
    </row>
    <row r="127" spans="2:5" x14ac:dyDescent="0.25">
      <c r="B127" s="67"/>
      <c r="C127" s="67"/>
      <c r="D127" s="67"/>
      <c r="E127" s="67"/>
    </row>
    <row r="128" spans="2:5" x14ac:dyDescent="0.25">
      <c r="B128" s="67"/>
      <c r="C128" s="67"/>
      <c r="D128" s="67"/>
      <c r="E128" s="67"/>
    </row>
    <row r="129" spans="2:5" x14ac:dyDescent="0.25">
      <c r="B129" s="67"/>
      <c r="C129" s="67"/>
      <c r="D129" s="67"/>
      <c r="E129" s="67"/>
    </row>
    <row r="130" spans="2:5" x14ac:dyDescent="0.25">
      <c r="B130" s="67"/>
      <c r="C130" s="67"/>
      <c r="D130" s="67"/>
      <c r="E130" s="67"/>
    </row>
    <row r="131" spans="2:5" x14ac:dyDescent="0.25">
      <c r="B131" s="67"/>
      <c r="C131" s="67"/>
      <c r="D131" s="67"/>
      <c r="E131" s="67"/>
    </row>
    <row r="132" spans="2:5" x14ac:dyDescent="0.25">
      <c r="B132" s="67"/>
      <c r="C132" s="67"/>
      <c r="D132" s="67"/>
      <c r="E132" s="67"/>
    </row>
    <row r="133" spans="2:5" x14ac:dyDescent="0.25">
      <c r="B133" s="67"/>
      <c r="C133" s="67"/>
      <c r="D133" s="67"/>
      <c r="E133" s="67"/>
    </row>
    <row r="134" spans="2:5" x14ac:dyDescent="0.25">
      <c r="B134" s="67"/>
      <c r="C134" s="67"/>
      <c r="D134" s="67"/>
      <c r="E134" s="67"/>
    </row>
    <row r="135" spans="2:5" x14ac:dyDescent="0.25">
      <c r="B135" s="67"/>
      <c r="C135" s="67"/>
      <c r="D135" s="67"/>
      <c r="E135" s="67"/>
    </row>
    <row r="136" spans="2:5" x14ac:dyDescent="0.25">
      <c r="B136" s="67"/>
      <c r="C136" s="67"/>
      <c r="D136" s="67"/>
      <c r="E136" s="67"/>
    </row>
    <row r="137" spans="2:5" x14ac:dyDescent="0.25">
      <c r="B137" s="67"/>
      <c r="C137" s="67"/>
      <c r="D137" s="67"/>
      <c r="E137" s="67"/>
    </row>
    <row r="138" spans="2:5" x14ac:dyDescent="0.25">
      <c r="B138" s="67"/>
      <c r="C138" s="67"/>
      <c r="D138" s="67"/>
      <c r="E138" s="67"/>
    </row>
    <row r="139" spans="2:5" x14ac:dyDescent="0.25">
      <c r="B139" s="67"/>
      <c r="C139" s="67"/>
      <c r="D139" s="67"/>
      <c r="E139" s="67"/>
    </row>
    <row r="140" spans="2:5" x14ac:dyDescent="0.25">
      <c r="B140" s="67"/>
      <c r="C140" s="67"/>
      <c r="D140" s="67"/>
      <c r="E140" s="67"/>
    </row>
    <row r="141" spans="2:5" x14ac:dyDescent="0.25">
      <c r="B141" s="67"/>
      <c r="C141" s="67"/>
      <c r="D141" s="67"/>
      <c r="E141" s="67"/>
    </row>
    <row r="142" spans="2:5" x14ac:dyDescent="0.25">
      <c r="B142" s="67"/>
      <c r="C142" s="67"/>
      <c r="D142" s="67"/>
      <c r="E142" s="67"/>
    </row>
    <row r="143" spans="2:5" x14ac:dyDescent="0.25">
      <c r="B143" s="67"/>
      <c r="C143" s="67"/>
      <c r="D143" s="67"/>
      <c r="E143" s="67"/>
    </row>
    <row r="144" spans="2:5" x14ac:dyDescent="0.25">
      <c r="B144" s="67"/>
      <c r="C144" s="67"/>
      <c r="D144" s="67"/>
      <c r="E144" s="67"/>
    </row>
    <row r="145" spans="2:5" x14ac:dyDescent="0.25">
      <c r="B145" s="67"/>
      <c r="C145" s="67"/>
      <c r="D145" s="67"/>
      <c r="E145" s="67"/>
    </row>
    <row r="146" spans="2:5" x14ac:dyDescent="0.25">
      <c r="B146" s="67"/>
      <c r="C146" s="67"/>
      <c r="D146" s="67"/>
      <c r="E146" s="67"/>
    </row>
    <row r="147" spans="2:5" x14ac:dyDescent="0.25">
      <c r="B147" s="67"/>
      <c r="C147" s="67"/>
      <c r="D147" s="67"/>
      <c r="E147" s="67"/>
    </row>
    <row r="148" spans="2:5" x14ac:dyDescent="0.25">
      <c r="B148" s="67"/>
      <c r="C148" s="67"/>
      <c r="D148" s="67"/>
      <c r="E148" s="67"/>
    </row>
    <row r="149" spans="2:5" x14ac:dyDescent="0.25">
      <c r="B149" s="67"/>
      <c r="C149" s="67"/>
      <c r="D149" s="67"/>
      <c r="E149" s="67"/>
    </row>
    <row r="150" spans="2:5" x14ac:dyDescent="0.25">
      <c r="B150" s="67"/>
      <c r="C150" s="67"/>
      <c r="D150" s="67"/>
      <c r="E150" s="67"/>
    </row>
    <row r="151" spans="2:5" x14ac:dyDescent="0.25">
      <c r="B151" s="67"/>
      <c r="C151" s="67"/>
      <c r="D151" s="67"/>
      <c r="E151" s="67"/>
    </row>
    <row r="152" spans="2:5" x14ac:dyDescent="0.25">
      <c r="B152" s="67"/>
      <c r="C152" s="67"/>
      <c r="D152" s="67"/>
      <c r="E152" s="67"/>
    </row>
    <row r="153" spans="2:5" x14ac:dyDescent="0.25">
      <c r="B153" s="67"/>
      <c r="C153" s="67"/>
      <c r="D153" s="67"/>
      <c r="E153" s="67"/>
    </row>
    <row r="154" spans="2:5" x14ac:dyDescent="0.25">
      <c r="B154" s="67"/>
      <c r="C154" s="67"/>
      <c r="D154" s="67"/>
      <c r="E154" s="67"/>
    </row>
    <row r="155" spans="2:5" x14ac:dyDescent="0.25">
      <c r="B155" s="67"/>
      <c r="C155" s="67"/>
      <c r="D155" s="67"/>
      <c r="E155" s="67"/>
    </row>
    <row r="156" spans="2:5" x14ac:dyDescent="0.25">
      <c r="B156" s="67"/>
      <c r="C156" s="67"/>
      <c r="D156" s="67"/>
      <c r="E156" s="67"/>
    </row>
    <row r="157" spans="2:5" x14ac:dyDescent="0.25">
      <c r="B157" s="67"/>
      <c r="C157" s="67"/>
      <c r="D157" s="67"/>
      <c r="E157" s="67"/>
    </row>
    <row r="158" spans="2:5" x14ac:dyDescent="0.25">
      <c r="B158" s="67"/>
      <c r="C158" s="67"/>
      <c r="D158" s="67"/>
      <c r="E158" s="67"/>
    </row>
    <row r="159" spans="2:5" x14ac:dyDescent="0.25">
      <c r="B159" s="67"/>
      <c r="C159" s="67"/>
      <c r="D159" s="67"/>
      <c r="E159" s="67"/>
    </row>
    <row r="160" spans="2:5" x14ac:dyDescent="0.25">
      <c r="B160" s="67"/>
      <c r="C160" s="67"/>
      <c r="D160" s="67"/>
      <c r="E160" s="67"/>
    </row>
    <row r="161" spans="2:5" x14ac:dyDescent="0.25">
      <c r="B161" s="67"/>
      <c r="C161" s="67"/>
      <c r="D161" s="67"/>
      <c r="E161" s="67"/>
    </row>
    <row r="162" spans="2:5" x14ac:dyDescent="0.25">
      <c r="B162" s="67"/>
      <c r="C162" s="67"/>
      <c r="D162" s="67"/>
      <c r="E162" s="67"/>
    </row>
    <row r="163" spans="2:5" x14ac:dyDescent="0.25">
      <c r="B163" s="67"/>
      <c r="C163" s="67"/>
      <c r="D163" s="67"/>
      <c r="E163" s="67"/>
    </row>
    <row r="164" spans="2:5" x14ac:dyDescent="0.25">
      <c r="B164" s="67"/>
      <c r="C164" s="67"/>
      <c r="D164" s="67"/>
      <c r="E164" s="67"/>
    </row>
    <row r="165" spans="2:5" x14ac:dyDescent="0.25">
      <c r="B165" s="67"/>
      <c r="C165" s="67"/>
      <c r="D165" s="67"/>
      <c r="E165" s="67"/>
    </row>
    <row r="166" spans="2:5" x14ac:dyDescent="0.25">
      <c r="B166" s="67"/>
      <c r="C166" s="67"/>
      <c r="D166" s="67"/>
      <c r="E166" s="67"/>
    </row>
    <row r="167" spans="2:5" x14ac:dyDescent="0.25">
      <c r="B167" s="67"/>
      <c r="C167" s="67"/>
      <c r="D167" s="67"/>
      <c r="E167" s="67"/>
    </row>
    <row r="168" spans="2:5" x14ac:dyDescent="0.25">
      <c r="B168" s="67"/>
      <c r="C168" s="67"/>
      <c r="D168" s="67"/>
      <c r="E168" s="67"/>
    </row>
    <row r="169" spans="2:5" x14ac:dyDescent="0.25">
      <c r="B169" s="67"/>
      <c r="C169" s="67"/>
      <c r="D169" s="67"/>
      <c r="E169" s="67"/>
    </row>
    <row r="170" spans="2:5" x14ac:dyDescent="0.25">
      <c r="B170" s="67"/>
      <c r="C170" s="67"/>
      <c r="D170" s="67"/>
      <c r="E170" s="67"/>
    </row>
    <row r="171" spans="2:5" x14ac:dyDescent="0.25">
      <c r="B171" s="67"/>
      <c r="C171" s="67"/>
      <c r="D171" s="67"/>
      <c r="E171" s="67"/>
    </row>
    <row r="172" spans="2:5" x14ac:dyDescent="0.25">
      <c r="B172" s="67"/>
      <c r="C172" s="67"/>
      <c r="D172" s="67"/>
      <c r="E172" s="67"/>
    </row>
    <row r="173" spans="2:5" x14ac:dyDescent="0.25">
      <c r="B173" s="67"/>
      <c r="C173" s="67"/>
      <c r="D173" s="67"/>
      <c r="E173" s="67"/>
    </row>
    <row r="174" spans="2:5" x14ac:dyDescent="0.25">
      <c r="B174" s="67"/>
      <c r="C174" s="67"/>
      <c r="D174" s="67"/>
      <c r="E174" s="67"/>
    </row>
    <row r="175" spans="2:5" x14ac:dyDescent="0.25">
      <c r="B175" s="67"/>
      <c r="C175" s="67"/>
      <c r="D175" s="67"/>
      <c r="E175" s="67"/>
    </row>
    <row r="176" spans="2:5" x14ac:dyDescent="0.25">
      <c r="B176" s="67"/>
      <c r="C176" s="67"/>
      <c r="D176" s="67"/>
      <c r="E176" s="67"/>
    </row>
    <row r="177" spans="2:5" x14ac:dyDescent="0.25">
      <c r="B177" s="67"/>
      <c r="C177" s="67"/>
      <c r="D177" s="67"/>
      <c r="E177" s="67"/>
    </row>
    <row r="178" spans="2:5" x14ac:dyDescent="0.25">
      <c r="B178" s="67"/>
      <c r="C178" s="67"/>
      <c r="D178" s="67"/>
      <c r="E178" s="67"/>
    </row>
    <row r="179" spans="2:5" x14ac:dyDescent="0.25">
      <c r="B179" s="67"/>
      <c r="C179" s="67"/>
      <c r="D179" s="67"/>
      <c r="E179" s="67"/>
    </row>
    <row r="180" spans="2:5" x14ac:dyDescent="0.25">
      <c r="B180" s="67"/>
      <c r="C180" s="67"/>
      <c r="D180" s="67"/>
      <c r="E180" s="67"/>
    </row>
    <row r="181" spans="2:5" x14ac:dyDescent="0.25">
      <c r="B181" s="67"/>
      <c r="C181" s="67"/>
      <c r="D181" s="67"/>
      <c r="E181" s="67"/>
    </row>
    <row r="182" spans="2:5" x14ac:dyDescent="0.25">
      <c r="B182" s="67"/>
      <c r="C182" s="67"/>
      <c r="D182" s="67"/>
      <c r="E182" s="67"/>
    </row>
    <row r="183" spans="2:5" x14ac:dyDescent="0.25">
      <c r="B183" s="67"/>
      <c r="C183" s="67"/>
      <c r="D183" s="67"/>
      <c r="E183" s="67"/>
    </row>
    <row r="184" spans="2:5" x14ac:dyDescent="0.25">
      <c r="B184" s="67"/>
      <c r="C184" s="67"/>
      <c r="D184" s="67"/>
      <c r="E184" s="67"/>
    </row>
    <row r="185" spans="2:5" x14ac:dyDescent="0.25">
      <c r="B185" s="67"/>
      <c r="C185" s="67"/>
      <c r="D185" s="67"/>
      <c r="E185" s="67"/>
    </row>
    <row r="186" spans="2:5" x14ac:dyDescent="0.25">
      <c r="B186" s="67"/>
      <c r="C186" s="67"/>
      <c r="D186" s="67"/>
      <c r="E186" s="67"/>
    </row>
    <row r="187" spans="2:5" x14ac:dyDescent="0.25">
      <c r="B187" s="67"/>
      <c r="C187" s="67"/>
      <c r="D187" s="67"/>
      <c r="E187" s="67"/>
    </row>
    <row r="188" spans="2:5" x14ac:dyDescent="0.25">
      <c r="B188" s="67"/>
      <c r="C188" s="67"/>
      <c r="D188" s="67"/>
      <c r="E188" s="67"/>
    </row>
    <row r="189" spans="2:5" x14ac:dyDescent="0.25">
      <c r="B189" s="67"/>
      <c r="C189" s="67"/>
      <c r="D189" s="67"/>
      <c r="E189" s="67"/>
    </row>
    <row r="190" spans="2:5" x14ac:dyDescent="0.25">
      <c r="B190" s="67"/>
      <c r="C190" s="67"/>
      <c r="D190" s="67"/>
      <c r="E190" s="67"/>
    </row>
    <row r="191" spans="2:5" x14ac:dyDescent="0.25">
      <c r="B191" s="67"/>
      <c r="C191" s="67"/>
      <c r="D191" s="67"/>
      <c r="E191" s="67"/>
    </row>
    <row r="192" spans="2:5" x14ac:dyDescent="0.25">
      <c r="B192" s="67"/>
      <c r="C192" s="67"/>
      <c r="D192" s="67"/>
      <c r="E192" s="67"/>
    </row>
    <row r="193" spans="2:5" x14ac:dyDescent="0.25">
      <c r="B193" s="67"/>
      <c r="C193" s="67"/>
      <c r="D193" s="67"/>
      <c r="E193" s="67"/>
    </row>
    <row r="194" spans="2:5" x14ac:dyDescent="0.25">
      <c r="B194" s="67"/>
      <c r="C194" s="67"/>
      <c r="D194" s="67"/>
      <c r="E194" s="67"/>
    </row>
    <row r="195" spans="2:5" x14ac:dyDescent="0.25">
      <c r="B195" s="67"/>
      <c r="C195" s="67"/>
      <c r="D195" s="67"/>
      <c r="E195" s="67"/>
    </row>
    <row r="196" spans="2:5" x14ac:dyDescent="0.25">
      <c r="B196" s="67"/>
      <c r="C196" s="67"/>
      <c r="D196" s="67"/>
      <c r="E196" s="67"/>
    </row>
    <row r="197" spans="2:5" x14ac:dyDescent="0.25">
      <c r="B197" s="67"/>
      <c r="C197" s="67"/>
      <c r="D197" s="67"/>
      <c r="E197" s="67"/>
    </row>
    <row r="198" spans="2:5" x14ac:dyDescent="0.25">
      <c r="B198" s="67"/>
      <c r="C198" s="67"/>
      <c r="D198" s="67"/>
      <c r="E198" s="67"/>
    </row>
    <row r="199" spans="2:5" x14ac:dyDescent="0.25">
      <c r="B199" s="67"/>
      <c r="C199" s="67"/>
      <c r="D199" s="67"/>
      <c r="E199" s="67"/>
    </row>
    <row r="200" spans="2:5" x14ac:dyDescent="0.25">
      <c r="B200" s="67"/>
      <c r="C200" s="67"/>
      <c r="D200" s="67"/>
      <c r="E200" s="67"/>
    </row>
    <row r="201" spans="2:5" x14ac:dyDescent="0.25">
      <c r="B201" s="67"/>
      <c r="C201" s="67"/>
      <c r="D201" s="67"/>
      <c r="E201" s="67"/>
    </row>
    <row r="202" spans="2:5" x14ac:dyDescent="0.25">
      <c r="B202" s="67"/>
      <c r="C202" s="67"/>
      <c r="D202" s="67"/>
      <c r="E202" s="67"/>
    </row>
    <row r="203" spans="2:5" x14ac:dyDescent="0.25">
      <c r="B203" s="67"/>
      <c r="C203" s="67"/>
      <c r="D203" s="67"/>
      <c r="E203" s="67"/>
    </row>
    <row r="204" spans="2:5" x14ac:dyDescent="0.25">
      <c r="B204" s="67"/>
      <c r="C204" s="67"/>
      <c r="D204" s="67"/>
      <c r="E204" s="67"/>
    </row>
    <row r="205" spans="2:5" x14ac:dyDescent="0.25">
      <c r="B205" s="67"/>
      <c r="C205" s="67"/>
      <c r="D205" s="67"/>
      <c r="E205" s="67"/>
    </row>
    <row r="206" spans="2:5" x14ac:dyDescent="0.25">
      <c r="B206" s="67"/>
      <c r="C206" s="67"/>
      <c r="D206" s="67"/>
      <c r="E206" s="67"/>
    </row>
    <row r="207" spans="2:5" x14ac:dyDescent="0.25">
      <c r="B207" s="67"/>
      <c r="C207" s="67"/>
      <c r="D207" s="67"/>
      <c r="E207" s="67"/>
    </row>
    <row r="208" spans="2:5" x14ac:dyDescent="0.25">
      <c r="B208" s="67"/>
      <c r="C208" s="67"/>
      <c r="D208" s="67"/>
      <c r="E208" s="67"/>
    </row>
    <row r="209" spans="2:5" x14ac:dyDescent="0.25">
      <c r="B209" s="67"/>
      <c r="C209" s="67"/>
      <c r="D209" s="67"/>
      <c r="E209" s="67"/>
    </row>
    <row r="210" spans="2:5" x14ac:dyDescent="0.25">
      <c r="B210" s="67"/>
      <c r="C210" s="67"/>
      <c r="D210" s="67"/>
      <c r="E210" s="67"/>
    </row>
  </sheetData>
  <mergeCells count="2">
    <mergeCell ref="B7:D7"/>
    <mergeCell ref="F7:H7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primary</vt:lpstr>
      <vt:lpstr>coord</vt:lpstr>
      <vt:lpstr>beam axis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Saroun</dc:creator>
  <cp:lastModifiedBy>Jan Saroun</cp:lastModifiedBy>
  <cp:lastPrinted>2016-03-01T14:33:47Z</cp:lastPrinted>
  <dcterms:created xsi:type="dcterms:W3CDTF">2016-02-24T13:53:45Z</dcterms:created>
  <dcterms:modified xsi:type="dcterms:W3CDTF">2017-01-08T03:47:52Z</dcterms:modified>
</cp:coreProperties>
</file>