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Default Extension="vml" ContentType="application/vnd.openxmlformats-officedocument.vmlDrawing"/>
  <Default Extension="bin" ContentType="application/vnd.openxmlformats-officedocument.spreadsheetml.printerSettings"/>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410"/>
  <workbookPr/>
  <mc:AlternateContent xmlns:mc="http://schemas.openxmlformats.org/markup-compatibility/2006">
    <mc:Choice Requires="x15">
      <x15ac:absPath xmlns:x15ac="http://schemas.microsoft.com/office/spreadsheetml/2010/11/ac" url="/Users/claralopez/Downloads/WETRANSFER VESPA/Ready/PDF/UK-ESS Project Management Docs/"/>
    </mc:Choice>
  </mc:AlternateContent>
  <bookViews>
    <workbookView xWindow="120" yWindow="620" windowWidth="23220" windowHeight="14100" tabRatio="714"/>
  </bookViews>
  <sheets>
    <sheet name="ISIS zone budget14 september" sheetId="14" r:id="rId1"/>
    <sheet name="ISIS zone budget" sheetId="7" r:id="rId2"/>
    <sheet name="LABOUR &amp; travel" sheetId="12" r:id="rId3"/>
    <sheet name="x TG2 JUN 2017" sheetId="5" state="hidden" r:id="rId4"/>
    <sheet name="OPTION 2 break 2016" sheetId="4" state="hidden" r:id="rId5"/>
    <sheet name="PBS budget" sheetId="3" state="hidden" r:id="rId6"/>
    <sheet name="blokki" sheetId="6" state="hidden" r:id="rId7"/>
  </sheets>
  <externalReferences>
    <externalReference r:id="rId8"/>
    <externalReference r:id="rId9"/>
  </externalReferences>
  <definedNames>
    <definedName name="_xlnm.Print_Area" localSheetId="1">'ISIS zone budget'!$B$2:$H$78</definedName>
    <definedName name="_xlnm.Print_Area" localSheetId="0">'ISIS zone budget14 september'!$B$2:$H$78</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70" i="14" l="1"/>
  <c r="M64" i="14"/>
  <c r="G64" i="14"/>
  <c r="S60" i="14"/>
  <c r="S59" i="14"/>
  <c r="M65" i="14"/>
  <c r="S58" i="14"/>
  <c r="G55" i="14"/>
  <c r="G65" i="14"/>
  <c r="C55" i="14"/>
  <c r="C56" i="14"/>
  <c r="C57" i="14"/>
  <c r="C58" i="14"/>
  <c r="C59" i="14"/>
  <c r="C60" i="14"/>
  <c r="C61" i="14"/>
  <c r="C62" i="14"/>
  <c r="C63" i="14"/>
  <c r="C64" i="14"/>
  <c r="G53" i="14"/>
  <c r="M26" i="14"/>
  <c r="S50" i="14"/>
  <c r="M63" i="14"/>
  <c r="G43" i="14"/>
  <c r="G42" i="14"/>
  <c r="G50" i="14"/>
  <c r="M25" i="14"/>
  <c r="C42" i="14"/>
  <c r="C43" i="14"/>
  <c r="C44" i="14"/>
  <c r="C45" i="14"/>
  <c r="C46" i="14"/>
  <c r="C47" i="14"/>
  <c r="C48" i="14"/>
  <c r="C49" i="14"/>
  <c r="G37" i="14"/>
  <c r="G36" i="14"/>
  <c r="G35" i="14"/>
  <c r="G34" i="14"/>
  <c r="C34" i="14"/>
  <c r="C35" i="14"/>
  <c r="C36" i="14"/>
  <c r="C37" i="14"/>
  <c r="C38" i="14"/>
  <c r="C39" i="14"/>
  <c r="G33" i="14"/>
  <c r="I29" i="14"/>
  <c r="I24" i="14"/>
  <c r="C22" i="14"/>
  <c r="C23" i="14"/>
  <c r="C24" i="14"/>
  <c r="C25" i="14"/>
  <c r="C26" i="14"/>
  <c r="C27" i="14"/>
  <c r="C28" i="14"/>
  <c r="C29" i="14"/>
  <c r="C30" i="14"/>
  <c r="C31" i="14"/>
  <c r="G21" i="14"/>
  <c r="I21" i="14"/>
  <c r="G18" i="14"/>
  <c r="G17" i="14"/>
  <c r="G32" i="14"/>
  <c r="M23" i="14"/>
  <c r="G16" i="14"/>
  <c r="M22" i="14"/>
  <c r="C15" i="14"/>
  <c r="G10" i="14"/>
  <c r="M21" i="14"/>
  <c r="C4" i="14"/>
  <c r="C5" i="14"/>
  <c r="C6" i="14"/>
  <c r="C7" i="14"/>
  <c r="C8" i="14"/>
  <c r="C9" i="14"/>
  <c r="C11" i="14"/>
  <c r="C12" i="14"/>
  <c r="G40" i="14"/>
  <c r="M24" i="14"/>
  <c r="G68" i="14"/>
  <c r="E69" i="14"/>
  <c r="E74" i="14"/>
  <c r="E76" i="14"/>
  <c r="E78" i="14"/>
  <c r="M27" i="14"/>
  <c r="M28" i="14"/>
  <c r="M66" i="14"/>
  <c r="J49" i="12"/>
  <c r="C55" i="7"/>
  <c r="C56" i="7"/>
  <c r="C57" i="7"/>
  <c r="C58" i="7"/>
  <c r="C59" i="7"/>
  <c r="C60" i="7"/>
  <c r="C61" i="7"/>
  <c r="C62" i="7"/>
  <c r="C63" i="7"/>
  <c r="C64" i="7"/>
  <c r="C42" i="7"/>
  <c r="C43" i="7"/>
  <c r="C44" i="7"/>
  <c r="C45" i="7"/>
  <c r="C46" i="7"/>
  <c r="C47" i="7"/>
  <c r="C48" i="7"/>
  <c r="C49" i="7"/>
  <c r="C34" i="7"/>
  <c r="C35" i="7"/>
  <c r="C36" i="7"/>
  <c r="C37" i="7"/>
  <c r="C38" i="7"/>
  <c r="C39" i="7"/>
  <c r="C22" i="7"/>
  <c r="C23" i="7"/>
  <c r="C24" i="7"/>
  <c r="C25" i="7"/>
  <c r="C26" i="7"/>
  <c r="C27" i="7"/>
  <c r="C28" i="7"/>
  <c r="C29" i="7"/>
  <c r="C30" i="7"/>
  <c r="C31" i="7"/>
  <c r="C4" i="7"/>
  <c r="C5" i="7"/>
  <c r="C6" i="7"/>
  <c r="C7" i="7"/>
  <c r="C8" i="7"/>
  <c r="C9" i="7"/>
  <c r="C11" i="7"/>
  <c r="C12" i="7"/>
  <c r="C15" i="7"/>
  <c r="G36" i="7"/>
  <c r="G34" i="7"/>
  <c r="I24" i="7"/>
  <c r="I29" i="7"/>
  <c r="I21" i="7"/>
  <c r="G21" i="7"/>
  <c r="W12" i="12"/>
  <c r="X12" i="12"/>
  <c r="Y12" i="12"/>
  <c r="V12" i="12"/>
  <c r="U12" i="12"/>
  <c r="T12" i="12"/>
  <c r="S12" i="12"/>
  <c r="R12" i="12"/>
  <c r="W11" i="12"/>
  <c r="X11" i="12"/>
  <c r="Y11" i="12"/>
  <c r="V11" i="12"/>
  <c r="U11" i="12"/>
  <c r="T11" i="12"/>
  <c r="S11" i="12"/>
  <c r="R11" i="12"/>
  <c r="W10" i="12"/>
  <c r="X10" i="12"/>
  <c r="Y10" i="12"/>
  <c r="V10" i="12"/>
  <c r="U10" i="12"/>
  <c r="T10" i="12"/>
  <c r="S10" i="12"/>
  <c r="R10" i="12"/>
  <c r="W9" i="12"/>
  <c r="X9" i="12"/>
  <c r="Y9" i="12"/>
  <c r="V9" i="12"/>
  <c r="U9" i="12"/>
  <c r="T9" i="12"/>
  <c r="S9" i="12"/>
  <c r="R9" i="12"/>
  <c r="W8" i="12"/>
  <c r="X8" i="12"/>
  <c r="Y8" i="12"/>
  <c r="V8" i="12"/>
  <c r="U8" i="12"/>
  <c r="T8" i="12"/>
  <c r="S8" i="12"/>
  <c r="R8" i="12"/>
  <c r="W7" i="12"/>
  <c r="X7" i="12"/>
  <c r="Y7" i="12"/>
  <c r="V7" i="12"/>
  <c r="U7" i="12"/>
  <c r="T7" i="12"/>
  <c r="S7" i="12"/>
  <c r="R7" i="12"/>
  <c r="J52" i="12"/>
  <c r="J51" i="12"/>
  <c r="J50" i="12"/>
  <c r="J53" i="12"/>
  <c r="C59" i="12"/>
  <c r="D48" i="12"/>
  <c r="E48" i="12"/>
  <c r="F48" i="12"/>
  <c r="G48" i="12"/>
  <c r="H48" i="12"/>
  <c r="I48" i="12"/>
  <c r="N46" i="12"/>
  <c r="I43" i="12"/>
  <c r="H43" i="12"/>
  <c r="G43" i="12"/>
  <c r="F43" i="12"/>
  <c r="E43" i="12"/>
  <c r="D43" i="12"/>
  <c r="C43" i="12"/>
  <c r="J39" i="12"/>
  <c r="J38" i="12"/>
  <c r="D36" i="12"/>
  <c r="E36" i="12"/>
  <c r="F36" i="12"/>
  <c r="G36" i="12"/>
  <c r="H36" i="12"/>
  <c r="I36" i="12"/>
  <c r="I31" i="12"/>
  <c r="H31" i="12"/>
  <c r="G31" i="12"/>
  <c r="F31" i="12"/>
  <c r="E31" i="12"/>
  <c r="D31" i="12"/>
  <c r="C31" i="12"/>
  <c r="K28" i="12"/>
  <c r="J28" i="12"/>
  <c r="K27" i="12"/>
  <c r="J27" i="12"/>
  <c r="K25" i="12"/>
  <c r="O25" i="12"/>
  <c r="J25" i="12"/>
  <c r="K24" i="12"/>
  <c r="O24" i="12"/>
  <c r="J24" i="12"/>
  <c r="K22" i="12"/>
  <c r="J22" i="12"/>
  <c r="K20" i="12"/>
  <c r="O20" i="12"/>
  <c r="J20" i="12"/>
  <c r="K19" i="12"/>
  <c r="O19" i="12"/>
  <c r="J19" i="12"/>
  <c r="K17" i="12"/>
  <c r="J17" i="12"/>
  <c r="K16" i="12"/>
  <c r="J16" i="12"/>
  <c r="K15" i="12"/>
  <c r="J15" i="12"/>
  <c r="K13" i="12"/>
  <c r="J13" i="12"/>
  <c r="K11" i="12"/>
  <c r="J11" i="12"/>
  <c r="K10" i="12"/>
  <c r="O10" i="12"/>
  <c r="J10" i="12"/>
  <c r="K9" i="12"/>
  <c r="J9" i="12"/>
  <c r="D6" i="12"/>
  <c r="E6" i="12"/>
  <c r="F6" i="12"/>
  <c r="G6" i="12"/>
  <c r="H6" i="12"/>
  <c r="I6" i="12"/>
  <c r="O22" i="12"/>
  <c r="M22" i="12"/>
  <c r="O28" i="12"/>
  <c r="M28" i="12"/>
  <c r="O15" i="12"/>
  <c r="M15" i="12"/>
  <c r="M13" i="12"/>
  <c r="O13" i="12"/>
  <c r="M16" i="12"/>
  <c r="O16" i="12"/>
  <c r="M9" i="12"/>
  <c r="O9" i="12"/>
  <c r="M11" i="12"/>
  <c r="O11" i="12"/>
  <c r="O17" i="12"/>
  <c r="M17" i="12"/>
  <c r="M27" i="12"/>
  <c r="O27" i="12"/>
  <c r="M10" i="12"/>
  <c r="M20" i="12"/>
  <c r="M19" i="12"/>
  <c r="M24" i="12"/>
  <c r="M25" i="12"/>
  <c r="J29" i="12"/>
  <c r="K29" i="12"/>
  <c r="J31" i="12"/>
  <c r="J41" i="12"/>
  <c r="C58" i="12"/>
  <c r="O30" i="12"/>
  <c r="M29" i="12"/>
  <c r="C61" i="12"/>
  <c r="K31" i="12"/>
  <c r="C57" i="12"/>
  <c r="G35" i="7"/>
  <c r="G33" i="7"/>
  <c r="G42" i="7"/>
  <c r="M64" i="7"/>
  <c r="S60" i="7"/>
  <c r="S59" i="7"/>
  <c r="S58" i="7"/>
  <c r="M65" i="7"/>
  <c r="S50" i="7"/>
  <c r="M63" i="7"/>
  <c r="M66" i="7"/>
  <c r="G18" i="7"/>
  <c r="G17" i="7"/>
  <c r="G55" i="7"/>
  <c r="G64" i="7"/>
  <c r="G53" i="7"/>
  <c r="G32" i="7"/>
  <c r="G43" i="7"/>
  <c r="G50" i="7"/>
  <c r="K93" i="3"/>
  <c r="G37" i="7"/>
  <c r="G65" i="7"/>
  <c r="G40" i="7"/>
  <c r="G16" i="7"/>
  <c r="G10" i="7"/>
  <c r="G68" i="7"/>
  <c r="E69" i="7"/>
  <c r="E74" i="7"/>
  <c r="E76" i="7"/>
  <c r="P112" i="3"/>
  <c r="P106" i="3"/>
  <c r="M75" i="3"/>
  <c r="L75" i="3"/>
  <c r="E78" i="7"/>
  <c r="L98" i="3"/>
  <c r="K95" i="3"/>
  <c r="L91" i="3"/>
  <c r="L72" i="3"/>
  <c r="K65" i="3"/>
  <c r="L66" i="3"/>
  <c r="L61" i="3"/>
  <c r="K57" i="3"/>
  <c r="K56" i="3"/>
  <c r="K55" i="3"/>
  <c r="K47" i="3"/>
  <c r="L57" i="3"/>
  <c r="L35" i="3"/>
  <c r="K43" i="3"/>
  <c r="M45" i="3"/>
  <c r="M79" i="3"/>
  <c r="L45" i="3"/>
  <c r="L79" i="3"/>
  <c r="G119" i="5"/>
  <c r="E128" i="5"/>
  <c r="G109" i="5"/>
  <c r="G108" i="5"/>
  <c r="G107" i="5"/>
  <c r="G106" i="5"/>
  <c r="G105" i="5"/>
  <c r="G94" i="5"/>
  <c r="G100" i="5"/>
  <c r="E143" i="5"/>
  <c r="G87" i="5"/>
  <c r="G86" i="5"/>
  <c r="G85" i="5"/>
  <c r="G84" i="5"/>
  <c r="G83" i="5"/>
  <c r="G82" i="5"/>
  <c r="G81" i="5"/>
  <c r="G80" i="5"/>
  <c r="G79" i="5"/>
  <c r="G78" i="5"/>
  <c r="G77" i="5"/>
  <c r="G76" i="5"/>
  <c r="G88" i="5"/>
  <c r="E142" i="5"/>
  <c r="G75" i="5"/>
  <c r="G74" i="5"/>
  <c r="G73" i="5"/>
  <c r="G66" i="5"/>
  <c r="G64" i="5"/>
  <c r="G62" i="5"/>
  <c r="G60" i="5"/>
  <c r="G59" i="5"/>
  <c r="E58" i="5"/>
  <c r="G58" i="5"/>
  <c r="G57" i="5"/>
  <c r="G56" i="5"/>
  <c r="G55" i="5"/>
  <c r="G54" i="5"/>
  <c r="G53" i="5"/>
  <c r="G52" i="5"/>
  <c r="G46" i="5"/>
  <c r="G45" i="5"/>
  <c r="G44" i="5"/>
  <c r="G43" i="5"/>
  <c r="G42" i="5"/>
  <c r="G41" i="5"/>
  <c r="G40" i="5"/>
  <c r="G38" i="5"/>
  <c r="G32" i="5"/>
  <c r="G29" i="5"/>
  <c r="G31" i="5"/>
  <c r="G15" i="5"/>
  <c r="G14" i="5"/>
  <c r="G13" i="5"/>
  <c r="G23" i="5"/>
  <c r="G7" i="5"/>
  <c r="G6" i="5"/>
  <c r="G8" i="5"/>
  <c r="G119" i="4"/>
  <c r="E128" i="4"/>
  <c r="G109" i="4"/>
  <c r="G108" i="4"/>
  <c r="G107" i="4"/>
  <c r="G106" i="4"/>
  <c r="G105" i="4"/>
  <c r="G104" i="4"/>
  <c r="G94" i="4"/>
  <c r="G100" i="4"/>
  <c r="E143" i="4"/>
  <c r="G87" i="4"/>
  <c r="G86" i="4"/>
  <c r="G85" i="4"/>
  <c r="G84" i="4"/>
  <c r="G83" i="4"/>
  <c r="G82" i="4"/>
  <c r="G81" i="4"/>
  <c r="G80" i="4"/>
  <c r="G79" i="4"/>
  <c r="G78" i="4"/>
  <c r="G77" i="4"/>
  <c r="G76" i="4"/>
  <c r="G75" i="4"/>
  <c r="G88" i="4"/>
  <c r="E142" i="4"/>
  <c r="G74" i="4"/>
  <c r="G73" i="4"/>
  <c r="G66" i="4"/>
  <c r="G64" i="4"/>
  <c r="G62" i="4"/>
  <c r="G60" i="4"/>
  <c r="G59" i="4"/>
  <c r="E58" i="4"/>
  <c r="G58" i="4"/>
  <c r="G57" i="4"/>
  <c r="G56" i="4"/>
  <c r="G55" i="4"/>
  <c r="G54" i="4"/>
  <c r="G53" i="4"/>
  <c r="G52" i="4"/>
  <c r="G46" i="4"/>
  <c r="G45" i="4"/>
  <c r="G44" i="4"/>
  <c r="G43" i="4"/>
  <c r="G42" i="4"/>
  <c r="G41" i="4"/>
  <c r="G40" i="4"/>
  <c r="G39" i="4"/>
  <c r="G38" i="4"/>
  <c r="G32" i="4"/>
  <c r="G29" i="4"/>
  <c r="G28" i="4"/>
  <c r="F27" i="4"/>
  <c r="G27" i="4"/>
  <c r="G31" i="4"/>
  <c r="G15" i="4"/>
  <c r="G14" i="4"/>
  <c r="G13" i="4"/>
  <c r="G23" i="4"/>
  <c r="G7" i="4"/>
  <c r="G8" i="4"/>
  <c r="G6" i="4"/>
  <c r="G48" i="4"/>
  <c r="E140" i="4"/>
  <c r="G110" i="5"/>
  <c r="G110" i="4"/>
  <c r="G61" i="5"/>
  <c r="G68" i="5"/>
  <c r="E141" i="5"/>
  <c r="G48" i="5"/>
  <c r="E140" i="5"/>
  <c r="G35" i="5"/>
  <c r="E139" i="5"/>
  <c r="E144" i="5"/>
  <c r="E144" i="4"/>
  <c r="G35" i="4"/>
  <c r="E139" i="4"/>
  <c r="G61" i="4"/>
  <c r="G68" i="4"/>
  <c r="E141" i="4"/>
  <c r="E146" i="4"/>
  <c r="G117" i="5"/>
  <c r="E126" i="5"/>
  <c r="E146" i="5"/>
  <c r="G117" i="4"/>
  <c r="G121" i="5"/>
  <c r="E130" i="5"/>
  <c r="E132" i="5"/>
  <c r="G123" i="5"/>
  <c r="F128" i="5"/>
  <c r="E126" i="4"/>
  <c r="G121" i="4"/>
  <c r="E130" i="4"/>
  <c r="G123" i="4"/>
  <c r="F128" i="4"/>
  <c r="E132" i="4"/>
</calcChain>
</file>

<file path=xl/comments1.xml><?xml version="1.0" encoding="utf-8"?>
<comments xmlns="http://schemas.openxmlformats.org/spreadsheetml/2006/main">
  <authors>
    <author>Lorenzo Di Fresco</author>
  </authors>
  <commentList>
    <comment ref="G12" authorId="0">
      <text>
        <r>
          <rPr>
            <b/>
            <sz val="9"/>
            <color indexed="81"/>
            <rFont val="Tahoma"/>
            <family val="2"/>
          </rPr>
          <t>Lorenzo Di Fresco:</t>
        </r>
        <r>
          <rPr>
            <sz val="9"/>
            <color indexed="81"/>
            <rFont val="Tahoma"/>
            <family val="2"/>
          </rPr>
          <t xml:space="preserve">
see loki for the estimate of these items</t>
        </r>
      </text>
    </comment>
    <comment ref="E17" authorId="0">
      <text>
        <r>
          <rPr>
            <b/>
            <sz val="9"/>
            <color indexed="81"/>
            <rFont val="Tahoma"/>
            <family val="2"/>
          </rPr>
          <t>Lorenzo Di Fresco:</t>
        </r>
        <r>
          <rPr>
            <sz val="9"/>
            <color indexed="81"/>
            <rFont val="Tahoma"/>
            <family val="2"/>
          </rPr>
          <t xml:space="preserve">
tapered guide shielding:
Sept2017: 0,5steel and 0.4 concrete up to 25 m
then 0.3steel 0.6 concrete
chopper pit from 15 to 20 m TBD
OLDER:
steel 44 m3 @ 17k€/m3
concrete 81 m3 @0.8k€m3
cavity 25k€ each</t>
        </r>
      </text>
    </comment>
    <comment ref="E21" authorId="0">
      <text>
        <r>
          <rPr>
            <b/>
            <sz val="9"/>
            <color indexed="81"/>
            <rFont val="Tahoma"/>
            <family val="2"/>
          </rPr>
          <t>Lorenzo Di Fresco:</t>
        </r>
        <r>
          <rPr>
            <sz val="9"/>
            <color indexed="81"/>
            <rFont val="Tahoma"/>
            <family val="2"/>
          </rPr>
          <t xml:space="preserve">
o The manpower needs for design and installation of the cave infrastructure was reduced by 200 k€ to bring it closer into line with the estimates for other instruments at ESS:
cave suggested ESS estimates results in: 1658k€ incluso labour</t>
        </r>
      </text>
    </comment>
    <comment ref="G22" authorId="0">
      <text>
        <r>
          <rPr>
            <b/>
            <sz val="9"/>
            <color indexed="81"/>
            <rFont val="Tahoma"/>
            <family val="2"/>
          </rPr>
          <t>Lorenzo Di Fresco:</t>
        </r>
        <r>
          <rPr>
            <sz val="9"/>
            <color indexed="81"/>
            <rFont val="Tahoma"/>
            <family val="2"/>
          </rPr>
          <t xml:space="preserve">
to be checked LOKI has 220k€ ;
dream TG2 cost est is 10k€</t>
        </r>
      </text>
    </comment>
    <comment ref="E34" authorId="0">
      <text>
        <r>
          <rPr>
            <b/>
            <sz val="9"/>
            <color indexed="81"/>
            <rFont val="Tahoma"/>
            <family val="2"/>
          </rPr>
          <t>Lorenzo Di Fresco:</t>
        </r>
        <r>
          <rPr>
            <sz val="9"/>
            <color indexed="81"/>
            <rFont val="Tahoma"/>
            <family val="2"/>
          </rPr>
          <t xml:space="preserve">
Be filter x osiris purchased from MATERION in 2011 costed 7450USD/dm3</t>
        </r>
      </text>
    </comment>
    <comment ref="L50" authorId="0">
      <text>
        <r>
          <rPr>
            <b/>
            <sz val="9"/>
            <color indexed="81"/>
            <rFont val="Tahoma"/>
            <family val="2"/>
          </rPr>
          <t>Lorenzo Di Fresco:</t>
        </r>
        <r>
          <rPr>
            <sz val="9"/>
            <color indexed="81"/>
            <rFont val="Tahoma"/>
            <family val="2"/>
          </rPr>
          <t xml:space="preserve">
from ESS-0060400</t>
        </r>
      </text>
    </comment>
    <comment ref="L53" authorId="0">
      <text>
        <r>
          <rPr>
            <b/>
            <sz val="9"/>
            <color indexed="81"/>
            <rFont val="Tahoma"/>
            <family val="2"/>
          </rPr>
          <t>Lorenzo Di Fresco:</t>
        </r>
        <r>
          <rPr>
            <sz val="9"/>
            <color indexed="81"/>
            <rFont val="Tahoma"/>
            <family val="2"/>
          </rPr>
          <t xml:space="preserve">
from ESS-0060400</t>
        </r>
      </text>
    </comment>
    <comment ref="S53" authorId="0">
      <text>
        <r>
          <rPr>
            <b/>
            <sz val="9"/>
            <color indexed="81"/>
            <rFont val="Tahoma"/>
            <family val="2"/>
          </rPr>
          <t>Lorenzo Di Fresco:</t>
        </r>
        <r>
          <rPr>
            <sz val="9"/>
            <color indexed="81"/>
            <rFont val="Tahoma"/>
            <family val="2"/>
          </rPr>
          <t xml:space="preserve">
CHIM overunder pillar variant ESS standard is 41k€; here considered it is a special CHIM to host the 3 x PSC DD overunder choppers with a common vacuum; some development required for vibration transmission issues</t>
        </r>
      </text>
    </comment>
  </commentList>
</comments>
</file>

<file path=xl/comments2.xml><?xml version="1.0" encoding="utf-8"?>
<comments xmlns="http://schemas.openxmlformats.org/spreadsheetml/2006/main">
  <authors>
    <author>Lorenzo Di Fresco</author>
  </authors>
  <commentList>
    <comment ref="G12" authorId="0">
      <text>
        <r>
          <rPr>
            <b/>
            <sz val="9"/>
            <color indexed="81"/>
            <rFont val="Tahoma"/>
            <family val="2"/>
          </rPr>
          <t>Lorenzo Di Fresco:</t>
        </r>
        <r>
          <rPr>
            <sz val="9"/>
            <color indexed="81"/>
            <rFont val="Tahoma"/>
            <family val="2"/>
          </rPr>
          <t xml:space="preserve">
see loki for the estimate of these items</t>
        </r>
      </text>
    </comment>
    <comment ref="E17" authorId="0">
      <text>
        <r>
          <rPr>
            <b/>
            <sz val="9"/>
            <color indexed="81"/>
            <rFont val="Tahoma"/>
            <family val="2"/>
          </rPr>
          <t>Lorenzo Di Fresco:</t>
        </r>
        <r>
          <rPr>
            <sz val="9"/>
            <color indexed="81"/>
            <rFont val="Tahoma"/>
            <family val="2"/>
          </rPr>
          <t xml:space="preserve">
tapered guide shielding:
Sept2017: 0,5steel and 0.4 concrete up to 25 m
then 0.3steel 0.6 concrete
chopper pit from 15 to 20 m TBD
OLDER:
steel 44 m3 @ 17k€/m3
concrete 81 m3 @0.8k€m3
cavity 25k€ each</t>
        </r>
      </text>
    </comment>
    <comment ref="E21" authorId="0">
      <text>
        <r>
          <rPr>
            <b/>
            <sz val="9"/>
            <color indexed="81"/>
            <rFont val="Tahoma"/>
            <family val="2"/>
          </rPr>
          <t>Lorenzo Di Fresco:</t>
        </r>
        <r>
          <rPr>
            <sz val="9"/>
            <color indexed="81"/>
            <rFont val="Tahoma"/>
            <family val="2"/>
          </rPr>
          <t xml:space="preserve">
o The manpower needs for design and installation of the cave infrastructure was reduced by 200 k€ to bring it closer into line with the estimates for other instruments at ESS:
cave suggested ESS estimates results in: 1658k€ incluso labour</t>
        </r>
      </text>
    </comment>
    <comment ref="G22" authorId="0">
      <text>
        <r>
          <rPr>
            <b/>
            <sz val="9"/>
            <color indexed="81"/>
            <rFont val="Tahoma"/>
            <family val="2"/>
          </rPr>
          <t>Lorenzo Di Fresco:</t>
        </r>
        <r>
          <rPr>
            <sz val="9"/>
            <color indexed="81"/>
            <rFont val="Tahoma"/>
            <family val="2"/>
          </rPr>
          <t xml:space="preserve">
to be checked LOKI has 220k€ ;
dream TG2 cost est is 10k€</t>
        </r>
      </text>
    </comment>
    <comment ref="E34" authorId="0">
      <text>
        <r>
          <rPr>
            <b/>
            <sz val="9"/>
            <color indexed="81"/>
            <rFont val="Tahoma"/>
            <family val="2"/>
          </rPr>
          <t>Lorenzo Di Fresco:</t>
        </r>
        <r>
          <rPr>
            <sz val="9"/>
            <color indexed="81"/>
            <rFont val="Tahoma"/>
            <family val="2"/>
          </rPr>
          <t xml:space="preserve">
Be filter x osiris purchased from MATERION in 2011 costed 7450USD/dm3</t>
        </r>
      </text>
    </comment>
    <comment ref="L50" authorId="0">
      <text>
        <r>
          <rPr>
            <b/>
            <sz val="9"/>
            <color indexed="81"/>
            <rFont val="Tahoma"/>
            <family val="2"/>
          </rPr>
          <t>Lorenzo Di Fresco:</t>
        </r>
        <r>
          <rPr>
            <sz val="9"/>
            <color indexed="81"/>
            <rFont val="Tahoma"/>
            <family val="2"/>
          </rPr>
          <t xml:space="preserve">
from ESS-0060400</t>
        </r>
      </text>
    </comment>
    <comment ref="L53" authorId="0">
      <text>
        <r>
          <rPr>
            <b/>
            <sz val="9"/>
            <color indexed="81"/>
            <rFont val="Tahoma"/>
            <family val="2"/>
          </rPr>
          <t>Lorenzo Di Fresco:</t>
        </r>
        <r>
          <rPr>
            <sz val="9"/>
            <color indexed="81"/>
            <rFont val="Tahoma"/>
            <family val="2"/>
          </rPr>
          <t xml:space="preserve">
from ESS-0060400</t>
        </r>
      </text>
    </comment>
    <comment ref="S53" authorId="0">
      <text>
        <r>
          <rPr>
            <b/>
            <sz val="9"/>
            <color indexed="81"/>
            <rFont val="Tahoma"/>
            <family val="2"/>
          </rPr>
          <t>Lorenzo Di Fresco:</t>
        </r>
        <r>
          <rPr>
            <sz val="9"/>
            <color indexed="81"/>
            <rFont val="Tahoma"/>
            <family val="2"/>
          </rPr>
          <t xml:space="preserve">
CHIM overunder pillar variant ESS standard is 41k€; here considered it is a special CHIM to host the 3 x PSC DD overunder choppers with a common vacuum; some development required for vibration transmission issues</t>
        </r>
      </text>
    </comment>
  </commentList>
</comments>
</file>

<file path=xl/comments3.xml><?xml version="1.0" encoding="utf-8"?>
<comments xmlns="http://schemas.openxmlformats.org/spreadsheetml/2006/main">
  <authors>
    <author>Lorenzo Di Fresco</author>
    <author>Di Fresco, Lorenzo (-,RAL,ISIS)</author>
  </authors>
  <commentList>
    <comment ref="D5" authorId="0">
      <text>
        <r>
          <rPr>
            <b/>
            <sz val="9"/>
            <color indexed="81"/>
            <rFont val="Tahoma"/>
            <family val="2"/>
          </rPr>
          <t>Lorenzo Di Fresco: 22/06/2017</t>
        </r>
        <r>
          <rPr>
            <sz val="9"/>
            <color indexed="81"/>
            <rFont val="Tahoma"/>
            <family val="2"/>
          </rPr>
          <t xml:space="preserve">
beamline shielding from bunker wall to cave 40 m length; made with steel and concrete </t>
        </r>
      </text>
    </comment>
    <comment ref="D76" authorId="1">
      <text>
        <r>
          <rPr>
            <b/>
            <sz val="9"/>
            <color indexed="81"/>
            <rFont val="Tahoma"/>
            <family val="2"/>
          </rPr>
          <t>Di Fresco, Lorenzo (-,RAL,ISIS):</t>
        </r>
        <r>
          <rPr>
            <sz val="9"/>
            <color indexed="81"/>
            <rFont val="Tahoma"/>
            <family val="2"/>
          </rPr>
          <t xml:space="preserve">
Backend electronics</t>
        </r>
      </text>
    </comment>
    <comment ref="G104" authorId="0">
      <text>
        <r>
          <rPr>
            <b/>
            <sz val="9"/>
            <color indexed="81"/>
            <rFont val="Tahoma"/>
            <family val="2"/>
          </rPr>
          <t>Lorenzo Di Fresco:</t>
        </r>
        <r>
          <rPr>
            <sz val="9"/>
            <color indexed="81"/>
            <rFont val="Tahoma"/>
            <family val="2"/>
          </rPr>
          <t xml:space="preserve">
from ODIN costing PSS non labour 95k labour 54k</t>
        </r>
      </text>
    </comment>
  </commentList>
</comments>
</file>

<file path=xl/comments4.xml><?xml version="1.0" encoding="utf-8"?>
<comments xmlns="http://schemas.openxmlformats.org/spreadsheetml/2006/main">
  <authors>
    <author>Di Fresco, Lorenzo (-,RAL,ISIS)</author>
  </authors>
  <commentList>
    <comment ref="D76" authorId="0">
      <text>
        <r>
          <rPr>
            <b/>
            <sz val="9"/>
            <color indexed="81"/>
            <rFont val="Tahoma"/>
            <family val="2"/>
          </rPr>
          <t>Di Fresco, Lorenzo (-,RAL,ISIS):</t>
        </r>
        <r>
          <rPr>
            <sz val="9"/>
            <color indexed="81"/>
            <rFont val="Tahoma"/>
            <family val="2"/>
          </rPr>
          <t xml:space="preserve">
Backend electronics</t>
        </r>
      </text>
    </comment>
  </commentList>
</comments>
</file>

<file path=xl/comments5.xml><?xml version="1.0" encoding="utf-8"?>
<comments xmlns="http://schemas.openxmlformats.org/spreadsheetml/2006/main">
  <authors>
    <author>Lorenzo Di Fresco</author>
  </authors>
  <commentList>
    <comment ref="F11" authorId="0">
      <text>
        <r>
          <rPr>
            <b/>
            <sz val="9"/>
            <color indexed="81"/>
            <rFont val="Tahoma"/>
            <family val="2"/>
          </rPr>
          <t>Lorenzo Di Fresco:</t>
        </r>
        <r>
          <rPr>
            <sz val="9"/>
            <color indexed="81"/>
            <rFont val="Tahoma"/>
            <family val="2"/>
          </rPr>
          <t xml:space="preserve">
VESPA has not collimators along the guide system </t>
        </r>
      </text>
    </comment>
    <comment ref="H11" authorId="0">
      <text>
        <r>
          <rPr>
            <b/>
            <sz val="9"/>
            <color indexed="81"/>
            <rFont val="Tahoma"/>
            <family val="2"/>
          </rPr>
          <t>Lorenzo Di Fresco:</t>
        </r>
        <r>
          <rPr>
            <sz val="9"/>
            <color indexed="81"/>
            <rFont val="Tahoma"/>
            <family val="2"/>
          </rPr>
          <t xml:space="preserve">
VESPA has not aperture collimation</t>
        </r>
      </text>
    </comment>
    <comment ref="F14" authorId="0">
      <text>
        <r>
          <rPr>
            <b/>
            <sz val="9"/>
            <color indexed="81"/>
            <rFont val="Tahoma"/>
            <family val="2"/>
          </rPr>
          <t>Lorenzo Di Fresco:</t>
        </r>
        <r>
          <rPr>
            <sz val="9"/>
            <color indexed="81"/>
            <rFont val="Tahoma"/>
            <family val="2"/>
          </rPr>
          <t xml:space="preserve">
the Be filter of the analyzer are considered part of this item?</t>
        </r>
      </text>
    </comment>
    <comment ref="G14" authorId="0">
      <text>
        <r>
          <rPr>
            <b/>
            <sz val="9"/>
            <color indexed="81"/>
            <rFont val="Tahoma"/>
            <family val="2"/>
          </rPr>
          <t>Lorenzo Di Fresco:</t>
        </r>
        <r>
          <rPr>
            <sz val="9"/>
            <color indexed="81"/>
            <rFont val="Tahoma"/>
            <family val="2"/>
          </rPr>
          <t xml:space="preserve">
what is that considering?</t>
        </r>
      </text>
    </comment>
    <comment ref="K41" authorId="0">
      <text>
        <r>
          <rPr>
            <b/>
            <sz val="9"/>
            <color indexed="81"/>
            <rFont val="Tahoma"/>
            <family val="2"/>
          </rPr>
          <t>Lorenzo Di Fresco:</t>
        </r>
        <r>
          <rPr>
            <sz val="9"/>
            <color indexed="81"/>
            <rFont val="Tahoma"/>
            <family val="2"/>
          </rPr>
          <t xml:space="preserve">
 Al or Cu substrate were quoted ~30k€/m2 (substrate report 28/02/2017 sent by MH: Al-based substrates are lasting longer but are €30 000/m2 more expensive than the N-BK 7 glass based one.)
Considering the guide surface of the 2 options E2 is 16/9 larger than T2;
Considering the surface from 2 m to 22 m from TCS we have the following surface of mirrored guide for the 2 options:
T2 surface (2-22 m from TCS): ~ 1.6 m2  =&gt; 1.6*30 = 47.69 k€
E2 surface (2-22 m from TCS): ~ 4.64 m2 =&gt; 4.64*30 = 139.29 k€
</t>
        </r>
      </text>
    </comment>
    <comment ref="E43" authorId="0">
      <text>
        <r>
          <rPr>
            <b/>
            <sz val="9"/>
            <color indexed="81"/>
            <rFont val="Tahoma"/>
            <family val="2"/>
          </rPr>
          <t>Lorenzo Di Fresco:</t>
        </r>
        <r>
          <rPr>
            <sz val="9"/>
            <color indexed="81"/>
            <rFont val="Tahoma"/>
            <family val="2"/>
          </rPr>
          <t xml:space="preserve">
Steel jackets / housings: The housings for TOSCA were very expensive due to the involved shielding properties. It is not clear yet what housings will be used at ESS. Until now we offered vacuum tubes to act as vacuum boundary of the guides at ESS.  Typical price: CHF 4000/m.</t>
        </r>
      </text>
    </comment>
    <comment ref="D47" authorId="0">
      <text>
        <r>
          <rPr>
            <b/>
            <sz val="9"/>
            <color indexed="81"/>
            <rFont val="Tahoma"/>
            <family val="2"/>
          </rPr>
          <t>Lorenzo Di Fresco:</t>
        </r>
        <r>
          <rPr>
            <sz val="9"/>
            <color indexed="81"/>
            <rFont val="Tahoma"/>
            <family val="2"/>
          </rPr>
          <t xml:space="preserve">
from ESS-0060400</t>
        </r>
      </text>
    </comment>
    <comment ref="D50" authorId="0">
      <text>
        <r>
          <rPr>
            <b/>
            <sz val="9"/>
            <color indexed="81"/>
            <rFont val="Tahoma"/>
            <family val="2"/>
          </rPr>
          <t>Lorenzo Di Fresco:</t>
        </r>
        <r>
          <rPr>
            <sz val="9"/>
            <color indexed="81"/>
            <rFont val="Tahoma"/>
            <family val="2"/>
          </rPr>
          <t xml:space="preserve">
from ESS-0060400</t>
        </r>
      </text>
    </comment>
    <comment ref="K50" authorId="0">
      <text>
        <r>
          <rPr>
            <b/>
            <sz val="9"/>
            <color indexed="81"/>
            <rFont val="Tahoma"/>
            <family val="2"/>
          </rPr>
          <t>Lorenzo Di Fresco:</t>
        </r>
        <r>
          <rPr>
            <sz val="9"/>
            <color indexed="81"/>
            <rFont val="Tahoma"/>
            <family val="2"/>
          </rPr>
          <t xml:space="preserve">
CHIM overunder pillar variant ESS standard is 41k€; here considered it is a special CHIM to host the 3 x PSC DD overunder choppers with a common vacuum; some development required for vibration transmission issues</t>
        </r>
      </text>
    </comment>
    <comment ref="E63" authorId="0">
      <text>
        <r>
          <rPr>
            <b/>
            <sz val="9"/>
            <color indexed="81"/>
            <rFont val="Tahoma"/>
            <family val="2"/>
          </rPr>
          <t>Lorenzo Di Fresco:</t>
        </r>
        <r>
          <rPr>
            <sz val="9"/>
            <color indexed="81"/>
            <rFont val="Tahoma"/>
            <family val="2"/>
          </rPr>
          <t xml:space="preserve">
see analyser item</t>
        </r>
      </text>
    </comment>
    <comment ref="D65" authorId="0">
      <text>
        <r>
          <rPr>
            <b/>
            <sz val="9"/>
            <color indexed="81"/>
            <rFont val="Tahoma"/>
            <family val="2"/>
          </rPr>
          <t>Lorenzo Di Fresco:</t>
        </r>
        <r>
          <rPr>
            <sz val="9"/>
            <color indexed="81"/>
            <rFont val="Tahoma"/>
            <family val="2"/>
          </rPr>
          <t xml:space="preserve">
see BM_requirements.doc with MH input</t>
        </r>
      </text>
    </comment>
    <comment ref="E65" authorId="0">
      <text>
        <r>
          <rPr>
            <b/>
            <sz val="9"/>
            <color indexed="81"/>
            <rFont val="Tahoma"/>
            <family val="2"/>
          </rPr>
          <t>Lorenzo Di Fresco:</t>
        </r>
        <r>
          <rPr>
            <sz val="9"/>
            <color indexed="81"/>
            <rFont val="Tahoma"/>
            <family val="2"/>
          </rPr>
          <t xml:space="preserve">
1 after PSC assy, 1 after FOC and s-FOC;
</t>
        </r>
      </text>
    </comment>
    <comment ref="G65" authorId="0">
      <text>
        <r>
          <rPr>
            <b/>
            <sz val="9"/>
            <color indexed="81"/>
            <rFont val="Tahoma"/>
            <family val="2"/>
          </rPr>
          <t>Lorenzo Di Fresco:</t>
        </r>
        <r>
          <rPr>
            <sz val="9"/>
            <color indexed="81"/>
            <rFont val="Tahoma"/>
            <family val="2"/>
          </rPr>
          <t xml:space="preserve">
normalization monitor: high time-resolution, position sensitive after the sample; mounted on chopper PSC and sFOC(?); mounted on guide before and after the sample
(?)</t>
        </r>
      </text>
    </comment>
    <comment ref="K70" authorId="0">
      <text>
        <r>
          <rPr>
            <b/>
            <sz val="9"/>
            <color indexed="81"/>
            <rFont val="Tahoma"/>
            <family val="2"/>
          </rPr>
          <t>Lorenzo Di Fresco:</t>
        </r>
        <r>
          <rPr>
            <sz val="9"/>
            <color indexed="81"/>
            <rFont val="Tahoma"/>
            <family val="2"/>
          </rPr>
          <t xml:space="preserve">
ESS suggested cost: does it include labour?
</t>
        </r>
      </text>
    </comment>
    <comment ref="K71" authorId="0">
      <text>
        <r>
          <rPr>
            <b/>
            <sz val="9"/>
            <color indexed="81"/>
            <rFont val="Tahoma"/>
            <family val="2"/>
          </rPr>
          <t>Lorenzo Di Fresco:</t>
        </r>
        <r>
          <rPr>
            <sz val="9"/>
            <color indexed="81"/>
            <rFont val="Tahoma"/>
            <family val="2"/>
          </rPr>
          <t xml:space="preserve">
as for loki and freia</t>
        </r>
      </text>
    </comment>
    <comment ref="L75" authorId="0">
      <text>
        <r>
          <rPr>
            <b/>
            <sz val="9"/>
            <color indexed="81"/>
            <rFont val="Tahoma"/>
            <family val="2"/>
          </rPr>
          <t>Lorenzo Di Fresco:</t>
        </r>
        <r>
          <rPr>
            <sz val="9"/>
            <color indexed="81"/>
            <rFont val="Tahoma"/>
            <family val="2"/>
          </rPr>
          <t xml:space="preserve">
tapered guide shielding:
steel 46 m3 @ 17k€/m3
concrete 84 m3 @0.8k€m3
cavity 25k€ each</t>
        </r>
      </text>
    </comment>
    <comment ref="M75" authorId="0">
      <text>
        <r>
          <rPr>
            <b/>
            <sz val="9"/>
            <color indexed="81"/>
            <rFont val="Tahoma"/>
            <family val="2"/>
          </rPr>
          <t>Lorenzo Di Fresco:</t>
        </r>
        <r>
          <rPr>
            <sz val="9"/>
            <color indexed="81"/>
            <rFont val="Tahoma"/>
            <family val="2"/>
          </rPr>
          <t xml:space="preserve">
elliptical guide
steel 65 m3 @ 17k€/m3
concrete 107 m3 @0.8k€m3
cavity 25k€ each</t>
        </r>
      </text>
    </comment>
    <comment ref="K91" authorId="0">
      <text>
        <r>
          <rPr>
            <b/>
            <sz val="9"/>
            <color indexed="81"/>
            <rFont val="Tahoma"/>
            <family val="2"/>
          </rPr>
          <t>Lorenzo Di Fresco:</t>
        </r>
        <r>
          <rPr>
            <sz val="9"/>
            <color indexed="81"/>
            <rFont val="Tahoma"/>
            <family val="2"/>
          </rPr>
          <t xml:space="preserve">
ESS after Scopesetting suggest to leave CCR, sample changer, sample alignment &amp; some integration labour containing the budget in 218k€</t>
        </r>
      </text>
    </comment>
    <comment ref="P115" authorId="0">
      <text>
        <r>
          <rPr>
            <b/>
            <sz val="9"/>
            <color indexed="81"/>
            <rFont val="Tahoma"/>
            <family val="2"/>
          </rPr>
          <t>Lorenzo Di Fresco:</t>
        </r>
        <r>
          <rPr>
            <sz val="9"/>
            <color indexed="81"/>
            <rFont val="Tahoma"/>
            <family val="2"/>
          </rPr>
          <t xml:space="preserve">
match with DREAM cost;
LOKI has a figure of 74 k€ for the whole ssrvices of the blockhopuse (match with utilities distr + SE utilities supply</t>
        </r>
      </text>
    </comment>
    <comment ref="P118" authorId="0">
      <text>
        <r>
          <rPr>
            <b/>
            <sz val="9"/>
            <color indexed="81"/>
            <rFont val="Tahoma"/>
            <family val="2"/>
          </rPr>
          <t xml:space="preserve">Lorenzo Di Fresco:
</t>
        </r>
        <r>
          <rPr>
            <sz val="9"/>
            <color indexed="81"/>
            <rFont val="Tahoma"/>
            <family val="2"/>
          </rPr>
          <t>need to check what is included in this item
DREAM set this item at 25k€</t>
        </r>
      </text>
    </comment>
  </commentList>
</comments>
</file>

<file path=xl/sharedStrings.xml><?xml version="1.0" encoding="utf-8"?>
<sst xmlns="http://schemas.openxmlformats.org/spreadsheetml/2006/main" count="1289" uniqueCount="604">
  <si>
    <t>Shielding</t>
  </si>
  <si>
    <t>Choppers</t>
  </si>
  <si>
    <t>Vacuum</t>
  </si>
  <si>
    <t>PSS</t>
  </si>
  <si>
    <t>Q.ty</t>
  </si>
  <si>
    <t>cost [k€]</t>
  </si>
  <si>
    <t>PBS 13.6.16.1 Beam Transport &amp; Conditioning System (BTCS)</t>
  </si>
  <si>
    <t>Shielding  (44 m)</t>
  </si>
  <si>
    <t>steel</t>
  </si>
  <si>
    <t>[m^3]</t>
  </si>
  <si>
    <t>concrete</t>
  </si>
  <si>
    <t>Shutter</t>
  </si>
  <si>
    <t>heavy shutter</t>
  </si>
  <si>
    <t>Choppers System</t>
  </si>
  <si>
    <t>Peter's</t>
  </si>
  <si>
    <t>WFM PSC  inside bunker</t>
  </si>
  <si>
    <t>FOC inside Bunker</t>
  </si>
  <si>
    <t>s FOC</t>
  </si>
  <si>
    <t>Power x 12 axis (rack power system)</t>
  </si>
  <si>
    <t>Chopper Drive x 12 axis</t>
  </si>
  <si>
    <t>Rack Master</t>
  </si>
  <si>
    <t>Rack slave</t>
  </si>
  <si>
    <t>CHIM x 3 WFM PSC over under in-bunker</t>
  </si>
  <si>
    <t>CHIM other choppers</t>
  </si>
  <si>
    <t>Vacuum system/flanges/tubes/controls</t>
  </si>
  <si>
    <t>PROMPT PULSE SUPPRESSION</t>
  </si>
  <si>
    <t>Neutron Guides</t>
  </si>
  <si>
    <t>Elliptic guide m=4</t>
  </si>
  <si>
    <t>The steel blocks supporting the guide are machined steels block included in the cost of the shielding ,  for a total volume of steel of 0.4x1.5x50 (30) cubic meter</t>
  </si>
  <si>
    <t>Straight guide m=4</t>
  </si>
  <si>
    <t>Housing + coating</t>
  </si>
  <si>
    <t>Mechanics</t>
  </si>
  <si>
    <t>Beam flux monitors</t>
  </si>
  <si>
    <t>jaws</t>
  </si>
  <si>
    <t>Vecuum window/flanges/flexibles</t>
  </si>
  <si>
    <t>PBS 13.6.16.2  Sample Exposure System (SES)</t>
  </si>
  <si>
    <t>Sample Alignment</t>
  </si>
  <si>
    <t>Cryostat (10-300 k)</t>
  </si>
  <si>
    <t>Sample Changer</t>
  </si>
  <si>
    <t>Imaging x positioning</t>
  </si>
  <si>
    <t>Sample vessel</t>
  </si>
  <si>
    <t>cooling unit x laser light equipment</t>
  </si>
  <si>
    <t xml:space="preserve">Gas adsorption equipment and photoexcitation setup </t>
  </si>
  <si>
    <t>sample sticks x various exp</t>
  </si>
  <si>
    <t>PBS 13.6.16.3 Scattering Characterization System (SCS)</t>
  </si>
  <si>
    <t>Analyzers and diff banks</t>
  </si>
  <si>
    <t>Be=filter</t>
  </si>
  <si>
    <t>HOPG</t>
  </si>
  <si>
    <t>CCR</t>
  </si>
  <si>
    <t>3He Detector tube (1/2''x6'')</t>
  </si>
  <si>
    <t>He tubes x diffract</t>
  </si>
  <si>
    <t>B4C shielding panel</t>
  </si>
  <si>
    <t>Helium liters</t>
  </si>
  <si>
    <t>cables</t>
  </si>
  <si>
    <t>frames</t>
  </si>
  <si>
    <t>s-total</t>
  </si>
  <si>
    <t>Beam monitor (flux,div, wave)</t>
  </si>
  <si>
    <t>BeamStop</t>
  </si>
  <si>
    <t>Shielding/background</t>
  </si>
  <si>
    <t xml:space="preserve">PBS 13.6.16.5 Experimental Cave(EC) </t>
  </si>
  <si>
    <t>Cave 11x5 sqm</t>
  </si>
  <si>
    <t>exp hutch top load spectr</t>
  </si>
  <si>
    <t xml:space="preserve">Electrical Power </t>
  </si>
  <si>
    <t>Lighting. Misc services</t>
  </si>
  <si>
    <t>Water &amp; Compressed Air</t>
  </si>
  <si>
    <t>He gas supply</t>
  </si>
  <si>
    <t>Chilled water</t>
  </si>
  <si>
    <t xml:space="preserve">Gates, </t>
  </si>
  <si>
    <t>Local crane</t>
  </si>
  <si>
    <t>Lifting frames</t>
  </si>
  <si>
    <t>Painting</t>
  </si>
  <si>
    <t>signage</t>
  </si>
  <si>
    <t>water panels / service panels</t>
  </si>
  <si>
    <t xml:space="preserve">PBS 13.6.16.6 Control Hutch (CH) </t>
  </si>
  <si>
    <t>Air Conditioning</t>
  </si>
  <si>
    <t>Stairs etc</t>
  </si>
  <si>
    <t>Monitoring Oxygen etc</t>
  </si>
  <si>
    <t>Backend electronics /UPS</t>
  </si>
  <si>
    <t>Fire suppression</t>
  </si>
  <si>
    <t>DAE</t>
  </si>
  <si>
    <t>Computers</t>
  </si>
  <si>
    <t>PBS 13.6.16.12 IC&amp;M</t>
  </si>
  <si>
    <t>PSS + interlocks</t>
  </si>
  <si>
    <t>PSS e interlock  verify double counting</t>
  </si>
  <si>
    <t>Driver Controls</t>
  </si>
  <si>
    <t>PC % system monitors</t>
  </si>
  <si>
    <t>Backup power supply</t>
  </si>
  <si>
    <t>Standalone mode</t>
  </si>
  <si>
    <t>electrical cabling</t>
  </si>
  <si>
    <t>Instrument Cost: Equipment</t>
  </si>
  <si>
    <t>ESS LABOUR (7m/y)</t>
  </si>
  <si>
    <r>
      <t>Labour Cost (</t>
    </r>
    <r>
      <rPr>
        <sz val="11"/>
        <color theme="1"/>
        <rFont val="Calibri"/>
        <family val="2"/>
      </rPr>
      <t>~28</t>
    </r>
    <r>
      <rPr>
        <sz val="11"/>
        <color theme="1"/>
        <rFont val="Calibri"/>
        <family val="2"/>
        <scheme val="minor"/>
      </rPr>
      <t xml:space="preserve"> manyears)&amp;travel</t>
    </r>
  </si>
  <si>
    <t>shipping</t>
  </si>
  <si>
    <t>Contingency 10%</t>
  </si>
  <si>
    <t>VESPA TOTAL COST</t>
  </si>
  <si>
    <t>Equipment</t>
  </si>
  <si>
    <t>ESS LABOUR</t>
  </si>
  <si>
    <r>
      <t>Labour</t>
    </r>
    <r>
      <rPr>
        <sz val="11"/>
        <color theme="1"/>
        <rFont val="Calibri"/>
        <family val="2"/>
        <scheme val="minor"/>
      </rPr>
      <t xml:space="preserve"> &amp; travel</t>
    </r>
  </si>
  <si>
    <t>SHIPPING</t>
  </si>
  <si>
    <t xml:space="preserve">Contingency </t>
  </si>
  <si>
    <t xml:space="preserve"> BTCS</t>
  </si>
  <si>
    <t>SES</t>
  </si>
  <si>
    <t>SCS</t>
  </si>
  <si>
    <t>EC</t>
  </si>
  <si>
    <t>CH</t>
  </si>
  <si>
    <t>IC&amp;M</t>
  </si>
  <si>
    <t>Feeder</t>
  </si>
  <si>
    <t>T2 tapered Straight guide m=4</t>
  </si>
  <si>
    <t>GUIDE COST estimate for straight tapered geometry T2 metallic substrate for 20 m from TCS; housing with b4c shielding tosca like cost can be reduced</t>
  </si>
  <si>
    <t>BTCS           13.6.17.1</t>
  </si>
  <si>
    <t>Beam Extraction</t>
  </si>
  <si>
    <t>13.6.17.1.1</t>
  </si>
  <si>
    <t>Beam Deliv</t>
  </si>
  <si>
    <t>13.6.17.1.2</t>
  </si>
  <si>
    <t>Chopper S</t>
  </si>
  <si>
    <t>13.6.17.1.3</t>
  </si>
  <si>
    <t>Beam geometry</t>
  </si>
  <si>
    <t>13.6.17.1.4</t>
  </si>
  <si>
    <t>Guide collimation</t>
  </si>
  <si>
    <t>Slit collimation</t>
  </si>
  <si>
    <t>Aperture coll</t>
  </si>
  <si>
    <t>Beamshaping Slit</t>
  </si>
  <si>
    <t>Geom condition sup&amp;align</t>
  </si>
  <si>
    <t>13.6.17.1.4.1</t>
  </si>
  <si>
    <t>13.6.17.1.4.2</t>
  </si>
  <si>
    <t>13.6.17.1.4.3</t>
  </si>
  <si>
    <t>13.6.17.1.4.5</t>
  </si>
  <si>
    <t>13.6.17.1.4.8</t>
  </si>
  <si>
    <t>Beam Filtering</t>
  </si>
  <si>
    <t>13.6.17.1.5</t>
  </si>
  <si>
    <t>Be Filter</t>
  </si>
  <si>
    <t>Beam Grating</t>
  </si>
  <si>
    <t>BTCS</t>
  </si>
  <si>
    <t>13.6.17.1.5.5</t>
  </si>
  <si>
    <t>13.6.17.1.5.6</t>
  </si>
  <si>
    <t>13.6.17.1</t>
  </si>
  <si>
    <t>Beam Validation</t>
  </si>
  <si>
    <t>13.6.17.1.6</t>
  </si>
  <si>
    <t>Beam monitors</t>
  </si>
  <si>
    <t>Flux measurem assy</t>
  </si>
  <si>
    <t>13.6.17.1.6.1</t>
  </si>
  <si>
    <t>13.6.17.1.6.2</t>
  </si>
  <si>
    <t>Flight tube</t>
  </si>
  <si>
    <t>13.6.17.1.7</t>
  </si>
  <si>
    <t>Beam Cut off</t>
  </si>
  <si>
    <t>13.6.17.1.8</t>
  </si>
  <si>
    <t>Heavy Shutter</t>
  </si>
  <si>
    <t>Beam stop</t>
  </si>
  <si>
    <t>13.6.17.1.8.1</t>
  </si>
  <si>
    <t>13.6.17.1.8.2</t>
  </si>
  <si>
    <t>13.6.17.1.8.6</t>
  </si>
  <si>
    <t>Vacuum System</t>
  </si>
  <si>
    <t>13.6.17.1.9</t>
  </si>
  <si>
    <t>Beam delivery vac</t>
  </si>
  <si>
    <t>Chopper vac</t>
  </si>
  <si>
    <t>Collimation vac</t>
  </si>
  <si>
    <t>Flight tube vac</t>
  </si>
  <si>
    <t>13.6.17.1.9.1</t>
  </si>
  <si>
    <t>13.6.17.1.9.2</t>
  </si>
  <si>
    <t>13.6.17.1.9.3</t>
  </si>
  <si>
    <t>13.6.17.1.9.4</t>
  </si>
  <si>
    <t>Shielding(BTC)</t>
  </si>
  <si>
    <t>13.6.17.1.10</t>
  </si>
  <si>
    <t>In bunker</t>
  </si>
  <si>
    <t>Beamline</t>
  </si>
  <si>
    <t>Neutron Guide</t>
  </si>
  <si>
    <t>13.6.17.1.10.1</t>
  </si>
  <si>
    <t>13.6.17.1.10.2</t>
  </si>
  <si>
    <t>13.6.17.1.10.3</t>
  </si>
  <si>
    <t>SES    13.6.17.2</t>
  </si>
  <si>
    <t>Sample positioning</t>
  </si>
  <si>
    <t>13.6.17.2.1</t>
  </si>
  <si>
    <t>Ancillary mounting</t>
  </si>
  <si>
    <t>13.6.17.2.2</t>
  </si>
  <si>
    <t>Sample env.eq.</t>
  </si>
  <si>
    <t>13.6.17.2.3</t>
  </si>
  <si>
    <t>Non SE ancill.eq.</t>
  </si>
  <si>
    <t>13.6.17.2.4</t>
  </si>
  <si>
    <t>SCS    13.6.17.3</t>
  </si>
  <si>
    <t>Analyser sys</t>
  </si>
  <si>
    <t>13.6.17.3.1</t>
  </si>
  <si>
    <t>Neutron detection</t>
  </si>
  <si>
    <t>13.6.17.3.2</t>
  </si>
  <si>
    <t>Neutron Detector</t>
  </si>
  <si>
    <t>Detector Vessel</t>
  </si>
  <si>
    <t>13.6.17.3.2.1</t>
  </si>
  <si>
    <t>13.6.17.3.2.3</t>
  </si>
  <si>
    <t>Vacuum sys</t>
  </si>
  <si>
    <t>13.6.17.3.3</t>
  </si>
  <si>
    <t>optical cave   13.6.17.4</t>
  </si>
  <si>
    <t>Exp Cave 13.6.17.5</t>
  </si>
  <si>
    <t>13.6.17.5.1</t>
  </si>
  <si>
    <t>Utilities distrib</t>
  </si>
  <si>
    <t>13.6.17.5.2</t>
  </si>
  <si>
    <t>Power board</t>
  </si>
  <si>
    <t>Comp Air</t>
  </si>
  <si>
    <t>Gas</t>
  </si>
  <si>
    <t>13.6.17.5.2.1</t>
  </si>
  <si>
    <t>13.6.17.5.2.2</t>
  </si>
  <si>
    <t>13.6.17.5.2.3</t>
  </si>
  <si>
    <t>13.6.17.5.2.4</t>
  </si>
  <si>
    <t>Support infrast</t>
  </si>
  <si>
    <t>13.6.17.5.3</t>
  </si>
  <si>
    <t>Power</t>
  </si>
  <si>
    <t>Network</t>
  </si>
  <si>
    <t>Lighting</t>
  </si>
  <si>
    <t>HVAC</t>
  </si>
  <si>
    <t>Fire protect</t>
  </si>
  <si>
    <t>O monitoring</t>
  </si>
  <si>
    <t>Water leakage monitor</t>
  </si>
  <si>
    <t>H2 leakage det</t>
  </si>
  <si>
    <t>Video surveillance</t>
  </si>
  <si>
    <t>Public address sys</t>
  </si>
  <si>
    <t>13.6.17.5.3.1</t>
  </si>
  <si>
    <t>13.6.17.5.3.2</t>
  </si>
  <si>
    <t>13.6.17.5.3.3</t>
  </si>
  <si>
    <t>13.6.17.5.3.4</t>
  </si>
  <si>
    <t>13.6.17.5.3.5</t>
  </si>
  <si>
    <t>13.6.17.5.3.6</t>
  </si>
  <si>
    <t>13.6.17.5.3.7</t>
  </si>
  <si>
    <t>13.6.17.5.3.8</t>
  </si>
  <si>
    <t>13.6.17.5.3.9</t>
  </si>
  <si>
    <t>13.6.17.5.3.10</t>
  </si>
  <si>
    <t>13.6.17.5.3.11</t>
  </si>
  <si>
    <t>13.6.17.5.4</t>
  </si>
  <si>
    <t>Cave struct</t>
  </si>
  <si>
    <t>13.6.17.5.5</t>
  </si>
  <si>
    <t>SE utilit suppl</t>
  </si>
  <si>
    <t>13.6.17.5.6</t>
  </si>
  <si>
    <t>Supply Gasses board</t>
  </si>
  <si>
    <t>Chilled water board</t>
  </si>
  <si>
    <t>Compr Air</t>
  </si>
  <si>
    <t>13.6.17.5.6.1</t>
  </si>
  <si>
    <t>13.6.17.5.6.2</t>
  </si>
  <si>
    <t>13.6.17.5.6.3</t>
  </si>
  <si>
    <t>13.6.17.5.6.4</t>
  </si>
  <si>
    <t>Ctrl hutch    13.6.17.6</t>
  </si>
  <si>
    <t>13.6.17.6.1</t>
  </si>
  <si>
    <t>13.6.17.6.1.1</t>
  </si>
  <si>
    <t>13.6.17.6.1.2</t>
  </si>
  <si>
    <t>13.6.17.6.1.3</t>
  </si>
  <si>
    <t>13.6.17.6.1.4</t>
  </si>
  <si>
    <t>13.6.17.6.1.5</t>
  </si>
  <si>
    <t>13.6.17.6.1.6</t>
  </si>
  <si>
    <t>13.6.17.6.1.7</t>
  </si>
  <si>
    <t>13.6.17.6.1.8</t>
  </si>
  <si>
    <t>13.6.17.6.1.9</t>
  </si>
  <si>
    <t>13.6.17.6.1.10</t>
  </si>
  <si>
    <t>13.6.17.6.1.11</t>
  </si>
  <si>
    <t>Hutch Bulding</t>
  </si>
  <si>
    <t>13.6.17.6.2</t>
  </si>
  <si>
    <t>Control terminal</t>
  </si>
  <si>
    <t>13.6.17.6.3</t>
  </si>
  <si>
    <t>Sample Prep Area    13.6.17.7</t>
  </si>
  <si>
    <t>13.6.17.7.1</t>
  </si>
  <si>
    <t>13.6.17.7.1.1</t>
  </si>
  <si>
    <t>13.6.17.7.1.2</t>
  </si>
  <si>
    <t>13.6.17.7.1.3</t>
  </si>
  <si>
    <t>13.6.17.7.1.4</t>
  </si>
  <si>
    <t>13.6.17.7.2</t>
  </si>
  <si>
    <t>13.6.17.7.2.1</t>
  </si>
  <si>
    <t>13.6.17.7.2.2</t>
  </si>
  <si>
    <t>13.6.17.7.2.3</t>
  </si>
  <si>
    <t>13.6.17.7.2.4</t>
  </si>
  <si>
    <t>13.6.17.7.2.5</t>
  </si>
  <si>
    <t>13.6.17.7.2.6</t>
  </si>
  <si>
    <t>13.6.17.7.2.7</t>
  </si>
  <si>
    <t>13.6.17.7.2.8</t>
  </si>
  <si>
    <t>13.6.17.7.2.9</t>
  </si>
  <si>
    <t>13.6.17.7.2.10</t>
  </si>
  <si>
    <t>13.6.17.7.2.11</t>
  </si>
  <si>
    <t>Cabin Build. infrastr</t>
  </si>
  <si>
    <t>13.6.17.7.3</t>
  </si>
  <si>
    <t>Lab eq. sampl storage</t>
  </si>
  <si>
    <t>13.6.17.7.4</t>
  </si>
  <si>
    <t>Ut.ies dist  13.6.17.8</t>
  </si>
  <si>
    <t>Hall 1</t>
  </si>
  <si>
    <t>13.6.17.8.1</t>
  </si>
  <si>
    <t>13.6.17.8.1.1</t>
  </si>
  <si>
    <t>13.6.17.8.1.2</t>
  </si>
  <si>
    <t>13.6.17.8.1.3</t>
  </si>
  <si>
    <t>13.6.17.8.1.4</t>
  </si>
  <si>
    <t>Support Infr.  13.6.17.9</t>
  </si>
  <si>
    <t>13.6.17.9.1</t>
  </si>
  <si>
    <t>13.6.17.9.1.1</t>
  </si>
  <si>
    <t>13.6.17.9.1.2</t>
  </si>
  <si>
    <t>13.6.17.9.1.3</t>
  </si>
  <si>
    <t>13.6.17.9.1.4</t>
  </si>
  <si>
    <t>Control Racks 13.6.17.10</t>
  </si>
  <si>
    <t>13.6.17.10.1</t>
  </si>
  <si>
    <t>13.6.17.10.1.1</t>
  </si>
  <si>
    <t>IC&amp;M   13.6.17.11</t>
  </si>
  <si>
    <t>Instr contro integr.</t>
  </si>
  <si>
    <t>13.6.17.11.1</t>
  </si>
  <si>
    <t>Gen Mtn cntrl integr</t>
  </si>
  <si>
    <t>Spec Mtn cntrl integr</t>
  </si>
  <si>
    <t>Vacuum cntrl</t>
  </si>
  <si>
    <t>Ancillary</t>
  </si>
  <si>
    <t>EPICS integr</t>
  </si>
  <si>
    <t>13.6.17.11.1.1</t>
  </si>
  <si>
    <t>13.6.17.11.1.2</t>
  </si>
  <si>
    <t>13.6.17.11.1.3</t>
  </si>
  <si>
    <t>13.6.17.11.1.5</t>
  </si>
  <si>
    <t>13.6.17.11.1.6</t>
  </si>
  <si>
    <t>PSS Integration</t>
  </si>
  <si>
    <t>13.6.17.11.2</t>
  </si>
  <si>
    <t>Interlock sys</t>
  </si>
  <si>
    <t>Radiation detect</t>
  </si>
  <si>
    <t>Shutter intface</t>
  </si>
  <si>
    <t>H2O detect</t>
  </si>
  <si>
    <t>O2 monitor</t>
  </si>
  <si>
    <t>H2 detect sys</t>
  </si>
  <si>
    <t>13.6.17.11.2.1</t>
  </si>
  <si>
    <t>13.6.17.11.2.2</t>
  </si>
  <si>
    <t>13.6.17.11.2.3</t>
  </si>
  <si>
    <t>13.6.17.11.2.4</t>
  </si>
  <si>
    <t>13.6.17.11.2.5</t>
  </si>
  <si>
    <t>13.6.17.11.2.6</t>
  </si>
  <si>
    <t>DMSC integration</t>
  </si>
  <si>
    <t>13.6.17.11.3</t>
  </si>
  <si>
    <t>Data sys e tech</t>
  </si>
  <si>
    <t>Data managmnt</t>
  </si>
  <si>
    <t>Instr data</t>
  </si>
  <si>
    <t>Data an. e Modeling</t>
  </si>
  <si>
    <t>13.6.17.11.3.1</t>
  </si>
  <si>
    <t>13.6.17.11.3.2</t>
  </si>
  <si>
    <t>13.6.17.11.3.3</t>
  </si>
  <si>
    <t>13.6.17.11.3.4</t>
  </si>
  <si>
    <t>feeder</t>
  </si>
  <si>
    <t>mirrored guide</t>
  </si>
  <si>
    <t>3 x WFMPSC</t>
  </si>
  <si>
    <t>1x FOC</t>
  </si>
  <si>
    <t>1 x s-FOC</t>
  </si>
  <si>
    <t>CHIM</t>
  </si>
  <si>
    <t>5 x CHIM</t>
  </si>
  <si>
    <t>Beam extraction</t>
  </si>
  <si>
    <t>length 3500 mm</t>
  </si>
  <si>
    <t>m = 4</t>
  </si>
  <si>
    <t>35x35 - 40x40 mmq</t>
  </si>
  <si>
    <t>Beam delivery</t>
  </si>
  <si>
    <t>Tapered 2</t>
  </si>
  <si>
    <t>length 54 m</t>
  </si>
  <si>
    <t>50x50 mm MAX</t>
  </si>
  <si>
    <t xml:space="preserve">Ellipt 2 </t>
  </si>
  <si>
    <t>85x85 mm MAX</t>
  </si>
  <si>
    <t>k€</t>
  </si>
  <si>
    <t>m = 4 Ni/Ti</t>
  </si>
  <si>
    <t>m: 3 - 5  Ni/Ti</t>
  </si>
  <si>
    <t>borkron glass</t>
  </si>
  <si>
    <t>Al\Cu substrate</t>
  </si>
  <si>
    <t>length 20 m</t>
  </si>
  <si>
    <t>47 - 139</t>
  </si>
  <si>
    <t>Housing</t>
  </si>
  <si>
    <t>length 50 m</t>
  </si>
  <si>
    <t>300x300 mm</t>
  </si>
  <si>
    <t>Support/mech</t>
  </si>
  <si>
    <t>35 support legs</t>
  </si>
  <si>
    <t>s-FOC CHIM</t>
  </si>
  <si>
    <t>FOC CHIM</t>
  </si>
  <si>
    <t>PSC CHIM</t>
  </si>
  <si>
    <t>for 3 dd chopper</t>
  </si>
  <si>
    <t>shared vacuum</t>
  </si>
  <si>
    <t>IMAT like</t>
  </si>
  <si>
    <t>overunder assy</t>
  </si>
  <si>
    <t>Double disc</t>
  </si>
  <si>
    <t>in bunker</t>
  </si>
  <si>
    <t>Double Disc</t>
  </si>
  <si>
    <t>instr hall</t>
  </si>
  <si>
    <t>x 3</t>
  </si>
  <si>
    <t>x 1</t>
  </si>
  <si>
    <t>Single Disc</t>
  </si>
  <si>
    <t>700 mm 150Hz</t>
  </si>
  <si>
    <t>700 mm 28 Hz</t>
  </si>
  <si>
    <t>700 mm 14 Hz</t>
  </si>
  <si>
    <t>Chopper assembly</t>
  </si>
  <si>
    <t>Chopper cntrl system</t>
  </si>
  <si>
    <t>Master rack</t>
  </si>
  <si>
    <t>Slave rack</t>
  </si>
  <si>
    <t>up to 8 drives</t>
  </si>
  <si>
    <t>4 drives +1 slave</t>
  </si>
  <si>
    <t>Drives</t>
  </si>
  <si>
    <t>x 9 axis</t>
  </si>
  <si>
    <t>x 9 chopper axis</t>
  </si>
  <si>
    <t>Support system</t>
  </si>
  <si>
    <t>x 3 CHIM</t>
  </si>
  <si>
    <t>Beam geometry conditioning</t>
  </si>
  <si>
    <t>shaping slits</t>
  </si>
  <si>
    <t>support &amp;alignment</t>
  </si>
  <si>
    <t xml:space="preserve">13.6.17.1.4 </t>
  </si>
  <si>
    <t>Beam validation</t>
  </si>
  <si>
    <t>flux measur</t>
  </si>
  <si>
    <t xml:space="preserve">see guide housing in </t>
  </si>
  <si>
    <t>4 x normalization</t>
  </si>
  <si>
    <t>2 x diagnostics</t>
  </si>
  <si>
    <t>1 after PSC,1 after s-FOC</t>
  </si>
  <si>
    <t>PSC, sFOC</t>
  </si>
  <si>
    <t>sample 2 x</t>
  </si>
  <si>
    <t>out of scope :vacuum provided by ESS</t>
  </si>
  <si>
    <t>ZOOM like</t>
  </si>
  <si>
    <t>3x cav. steelW</t>
  </si>
  <si>
    <t>steel concrete mix</t>
  </si>
  <si>
    <t>T</t>
  </si>
  <si>
    <t>E</t>
  </si>
  <si>
    <t>tapered</t>
  </si>
  <si>
    <t>ellipt</t>
  </si>
  <si>
    <t>SE equipment</t>
  </si>
  <si>
    <t>stick alignment</t>
  </si>
  <si>
    <t>smpl chnger</t>
  </si>
  <si>
    <t>smpl vessel</t>
  </si>
  <si>
    <t>cryostat</t>
  </si>
  <si>
    <t xml:space="preserve"> Detectors</t>
  </si>
  <si>
    <t>Detect Vessel</t>
  </si>
  <si>
    <t>15 x CCR, Be, HOPG</t>
  </si>
  <si>
    <t>5 x compressors</t>
  </si>
  <si>
    <t>54 liters He</t>
  </si>
  <si>
    <t>300+8 x He tubes</t>
  </si>
  <si>
    <t>1 x frame</t>
  </si>
  <si>
    <t>[k€]</t>
  </si>
  <si>
    <t xml:space="preserve"> PBS ESTIMATED COSTING</t>
  </si>
  <si>
    <t>SE cntrl box</t>
  </si>
  <si>
    <t>13.6.17.5.7</t>
  </si>
  <si>
    <t>steel [m3]</t>
  </si>
  <si>
    <t>concrete [m3]</t>
  </si>
  <si>
    <t>see EC supp infr</t>
  </si>
  <si>
    <t>monolith</t>
  </si>
  <si>
    <t>Tooling for installation into Monolith</t>
  </si>
  <si>
    <t>Shims and packing</t>
  </si>
  <si>
    <t>Streaming shielding</t>
  </si>
  <si>
    <t>Insert Cooling system</t>
  </si>
  <si>
    <t>Windows</t>
  </si>
  <si>
    <t>Gamma shutter insert</t>
  </si>
  <si>
    <t>Bunker Zone</t>
  </si>
  <si>
    <t>Bunker Shielding</t>
  </si>
  <si>
    <t>Bunker Zone Component Support Structures</t>
  </si>
  <si>
    <t>Experimental Hall Zone</t>
  </si>
  <si>
    <t>Bunker to Cave zone</t>
  </si>
  <si>
    <t>Cave Zone</t>
  </si>
  <si>
    <t>Neutron Detection</t>
  </si>
  <si>
    <t>Detectors</t>
  </si>
  <si>
    <t>Monitors</t>
  </si>
  <si>
    <t>Beamline Components</t>
  </si>
  <si>
    <t>Guide</t>
  </si>
  <si>
    <t>Guide vessel and support structures</t>
  </si>
  <si>
    <t>XY Slits</t>
  </si>
  <si>
    <t>Services</t>
  </si>
  <si>
    <t>Hutch</t>
  </si>
  <si>
    <t>Racks</t>
  </si>
  <si>
    <t>Electrical cabling</t>
  </si>
  <si>
    <t>Mechanical services</t>
  </si>
  <si>
    <t>Computing</t>
  </si>
  <si>
    <t>Crane</t>
  </si>
  <si>
    <t>Vacuum services</t>
  </si>
  <si>
    <t>Sample prep area</t>
  </si>
  <si>
    <t>Blockhouse services</t>
  </si>
  <si>
    <t>Logistics</t>
  </si>
  <si>
    <t>Bunker components activation shielding</t>
  </si>
  <si>
    <t>Bunker Wall Plug Shielding</t>
  </si>
  <si>
    <t>Steel</t>
  </si>
  <si>
    <t>Concrete</t>
  </si>
  <si>
    <t>Cave</t>
  </si>
  <si>
    <t>Beamstop</t>
  </si>
  <si>
    <t>Access and flooring</t>
  </si>
  <si>
    <t>Sample Area</t>
  </si>
  <si>
    <t>Sample Stack</t>
  </si>
  <si>
    <t>Detector Vessel Assembly</t>
  </si>
  <si>
    <t>Detector vacuum vessel</t>
  </si>
  <si>
    <t>Detector vessel Shielding</t>
  </si>
  <si>
    <t>detector mounting frames</t>
  </si>
  <si>
    <t>s-TOTAL</t>
  </si>
  <si>
    <t>Back end electronics</t>
  </si>
  <si>
    <t>rack, cables, power, UPS</t>
  </si>
  <si>
    <t>tapered 2, L 54m borkron, m=4</t>
  </si>
  <si>
    <t>section MAX 55*55 mm2</t>
  </si>
  <si>
    <t>Cavities zoom like with steel and W</t>
  </si>
  <si>
    <t>3 x cavities</t>
  </si>
  <si>
    <t>3xDD 154Hz, 1xDD 28Hz, 1xDD 14 Hz</t>
  </si>
  <si>
    <t xml:space="preserve">gas turbopump </t>
  </si>
  <si>
    <t xml:space="preserve">CHIM: 1xPSC assy o/u, 2 x FtF; </t>
  </si>
  <si>
    <t>2xPSS, 1xMCA, 2xchoppers cntrl</t>
  </si>
  <si>
    <t>vacuum service for CHIM, sample vessel</t>
  </si>
  <si>
    <t>Access Platforms/elevator to sample prep</t>
  </si>
  <si>
    <t>Insert Vessel/NBOA</t>
  </si>
  <si>
    <t>20 m metallic substrate (Al or Cu)</t>
  </si>
  <si>
    <t>length 52 m, 300x300 mm2 housing</t>
  </si>
  <si>
    <t>Power x 9 axis (rack power system)</t>
  </si>
  <si>
    <t>Chopper Drive x 9 axis</t>
  </si>
  <si>
    <t xml:space="preserve">utilities panel </t>
  </si>
  <si>
    <t>utilities panel</t>
  </si>
  <si>
    <t>structure, lights, HVAC</t>
  </si>
  <si>
    <t>incuding optics (check contribution ESS)</t>
  </si>
  <si>
    <t>positioning camera</t>
  </si>
  <si>
    <t>ONLY EQUIPMENT TOTAL</t>
  </si>
  <si>
    <t>4 indip. blades, actuator and cntrl</t>
  </si>
  <si>
    <t>Hall</t>
  </si>
  <si>
    <t>Racks +vacuum</t>
  </si>
  <si>
    <t>Remote handling components/vacuum serv</t>
  </si>
  <si>
    <t>SE: Cryostat</t>
  </si>
  <si>
    <t>SE: sample chngr,</t>
  </si>
  <si>
    <t>housing SNAG 4kCHF/m</t>
  </si>
  <si>
    <t>Generic MCU</t>
  </si>
  <si>
    <t>Infr.(racks,pwr)</t>
  </si>
  <si>
    <t>Motor, encoder</t>
  </si>
  <si>
    <t>Cables</t>
  </si>
  <si>
    <t>staff avg cost</t>
  </si>
  <si>
    <t>k€/MY</t>
  </si>
  <si>
    <t>ISIS-CNR People Predicted Expenditure</t>
  </si>
  <si>
    <t>ISIS - CNR</t>
  </si>
  <si>
    <t>Total man years worked</t>
  </si>
  <si>
    <t>People</t>
  </si>
  <si>
    <t>Mechanical</t>
  </si>
  <si>
    <t>Lead Engineer</t>
  </si>
  <si>
    <t>Senior Design Eningeer</t>
  </si>
  <si>
    <t>Design Engineer</t>
  </si>
  <si>
    <t>Electrical</t>
  </si>
  <si>
    <t>Electrical Design Engineer</t>
  </si>
  <si>
    <t>Project</t>
  </si>
  <si>
    <t>Project Sponsor</t>
  </si>
  <si>
    <t>Project manager</t>
  </si>
  <si>
    <t>Planner</t>
  </si>
  <si>
    <t>Detector Group Leader</t>
  </si>
  <si>
    <t>Detector Engineer</t>
  </si>
  <si>
    <t>Logistics assistant</t>
  </si>
  <si>
    <t xml:space="preserve">Science </t>
  </si>
  <si>
    <t>Lead Scientist</t>
  </si>
  <si>
    <t>Second scientist</t>
  </si>
  <si>
    <t>Operations</t>
  </si>
  <si>
    <t>Lead tecnician</t>
  </si>
  <si>
    <t>Beamline Technician</t>
  </si>
  <si>
    <t>Grand Total</t>
  </si>
  <si>
    <t>ISIS-CNR Travel Predicted Expenditure</t>
  </si>
  <si>
    <t>Total Travel</t>
  </si>
  <si>
    <t>Establishment</t>
  </si>
  <si>
    <t>ISIS</t>
  </si>
  <si>
    <t>CNR</t>
  </si>
  <si>
    <t>Other "NO-equipment" Predicted Expenditure</t>
  </si>
  <si>
    <t>ESS avg cost</t>
  </si>
  <si>
    <t>MY</t>
  </si>
  <si>
    <t>Total "NO-equipment" Predicted Expenditure</t>
  </si>
  <si>
    <t>ISIS-CNR Travel</t>
  </si>
  <si>
    <t xml:space="preserve">TOTAL </t>
  </si>
  <si>
    <t>1 trip x `1 person = 1k€</t>
  </si>
  <si>
    <t>Band</t>
  </si>
  <si>
    <t>2016/17</t>
  </si>
  <si>
    <t>2017/18</t>
  </si>
  <si>
    <t>2018/19</t>
  </si>
  <si>
    <t>2019/20</t>
  </si>
  <si>
    <t>2020/21</t>
  </si>
  <si>
    <t>2021/22</t>
  </si>
  <si>
    <t>2022/23</t>
  </si>
  <si>
    <t>2023/24</t>
  </si>
  <si>
    <t>Band G</t>
  </si>
  <si>
    <t>Band F</t>
  </si>
  <si>
    <t>Band E</t>
  </si>
  <si>
    <t>Band D</t>
  </si>
  <si>
    <t>Band C</t>
  </si>
  <si>
    <t xml:space="preserve">Band B </t>
  </si>
  <si>
    <t>yearly cost</t>
  </si>
  <si>
    <t>G</t>
  </si>
  <si>
    <t>Project manager, GroupLeader, Lead Scient</t>
  </si>
  <si>
    <t>F</t>
  </si>
  <si>
    <t>Lead Engineer, Sr Eng, Detect Eng, Sec Scient, Lead Tech</t>
  </si>
  <si>
    <t>Design engineer, Planner, Beam Tech</t>
  </si>
  <si>
    <t>D</t>
  </si>
  <si>
    <t>C</t>
  </si>
  <si>
    <t>B</t>
  </si>
  <si>
    <t>A</t>
  </si>
  <si>
    <t>ESS STAFF (1.2 MY senior scientist?)</t>
  </si>
  <si>
    <t>Contractors for Installation @ ESS [k€]</t>
  </si>
  <si>
    <t>Shipping [k€]</t>
  </si>
  <si>
    <t>Prebuild [k€]</t>
  </si>
  <si>
    <t>60 m3 steel + 90m3 cncrt</t>
  </si>
  <si>
    <t>Be filters 10x10x10 cm3 (x4 modules?)</t>
  </si>
  <si>
    <t>160 x He tubes, 53  x He litres</t>
  </si>
  <si>
    <t>pc, monitor,hardware</t>
  </si>
  <si>
    <t>Motion control components</t>
  </si>
  <si>
    <t>Motion control electronics</t>
  </si>
  <si>
    <t>ESS rates</t>
  </si>
  <si>
    <t>Design engineer</t>
  </si>
  <si>
    <t>Senior Electrical Design Engineer</t>
  </si>
  <si>
    <t>Science advisor</t>
  </si>
  <si>
    <t>Beamline Technican</t>
  </si>
  <si>
    <t>ISIS rate</t>
  </si>
  <si>
    <t>[k£/year]</t>
  </si>
  <si>
    <t>ESS staff,Installation, prebuild, shipping</t>
  </si>
  <si>
    <t>VESPA Equipment only</t>
  </si>
  <si>
    <t>GRAND TOTAL</t>
  </si>
  <si>
    <t>STAFF Cost (ESS 60 €/hrs; 108k€/MY)</t>
  </si>
  <si>
    <t>ISIS-CNR People  (26.8MY)</t>
  </si>
  <si>
    <t>ISIS-CNR People (26.8MY)</t>
  </si>
  <si>
    <t>Contingency (20%)</t>
  </si>
  <si>
    <t>VESPA equipment</t>
  </si>
  <si>
    <t>Monolith area</t>
  </si>
  <si>
    <t>Bunker zone</t>
  </si>
  <si>
    <t xml:space="preserve">Experimental hall </t>
  </si>
  <si>
    <t>Beamline components</t>
  </si>
  <si>
    <t>TOTAL equipment</t>
  </si>
  <si>
    <t>4 indip. blades, actuator and cntrl x2</t>
  </si>
  <si>
    <t>2 x diagnostic no pos sens, 1x pos sens</t>
  </si>
  <si>
    <t>2 x normalization</t>
  </si>
  <si>
    <t>Motor, encoder (12 axes)</t>
  </si>
  <si>
    <t>Cables (12 axes)</t>
  </si>
  <si>
    <t>Generic MCU (12 axes)</t>
  </si>
  <si>
    <t>Infr.(racks,pwr) (12 axes)</t>
  </si>
  <si>
    <t>2 x normalization no pos sens, 1x pos sens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</si>
</sst>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k\€* #,##0_-;\-&quot;£&quot;* #,##0_-;_-&quot;£&quot;* &quot;-&quot;_-;_-@_-"/>
    <numFmt numFmtId="167" formatCode="#,##0_ ;\-#,##0\ "/>
    <numFmt numFmtId="168" formatCode="\k\€\ \ \ \ \ #,##0"/>
  </numFmts>
  <fonts count="26"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sz val="12"/>
      <color theme="1"/>
      <name val="Calibri"/>
      <family val="2"/>
      <scheme val="minor"/>
    </font>
    <font>
      <b/>
      <sz val="11"/>
      <color rgb="FFFF0000"/>
      <name val="Calibri"/>
      <family val="2"/>
      <scheme val="minor"/>
    </font>
    <font>
      <sz val="11"/>
      <color theme="1"/>
      <name val="Calibri"/>
      <family val="2"/>
    </font>
    <font>
      <b/>
      <sz val="8"/>
      <color theme="1"/>
      <name val="Calibri"/>
      <family val="2"/>
      <scheme val="minor"/>
    </font>
    <font>
      <b/>
      <sz val="12"/>
      <color theme="9" tint="-0.499984740745262"/>
      <name val="Calibri"/>
      <family val="2"/>
      <scheme val="minor"/>
    </font>
    <font>
      <sz val="11"/>
      <color rgb="FF9C0006"/>
      <name val="Calibri"/>
      <family val="2"/>
      <scheme val="minor"/>
    </font>
    <font>
      <b/>
      <sz val="12"/>
      <color theme="1"/>
      <name val="Calibri"/>
      <family val="2"/>
      <scheme val="minor"/>
    </font>
    <font>
      <b/>
      <sz val="24"/>
      <color theme="1"/>
      <name val="Berlin Sans FB Demi"/>
      <family val="2"/>
    </font>
    <font>
      <sz val="14"/>
      <color theme="1"/>
      <name val="Aharoni"/>
      <charset val="177"/>
    </font>
    <font>
      <sz val="11"/>
      <name val="Calibri"/>
      <family val="2"/>
      <scheme val="minor"/>
    </font>
    <font>
      <b/>
      <sz val="11"/>
      <name val="Calibri"/>
      <family val="2"/>
      <scheme val="minor"/>
    </font>
    <font>
      <b/>
      <sz val="11"/>
      <color theme="1"/>
      <name val="Arial Black"/>
      <family val="2"/>
    </font>
    <font>
      <b/>
      <sz val="12"/>
      <color theme="1"/>
      <name val="Arial Black"/>
      <family val="2"/>
    </font>
    <font>
      <sz val="10"/>
      <color theme="1"/>
      <name val="Calibri"/>
      <family val="2"/>
      <scheme val="minor"/>
    </font>
    <font>
      <b/>
      <sz val="10"/>
      <color theme="1"/>
      <name val="Calibri"/>
      <family val="2"/>
      <scheme val="minor"/>
    </font>
    <font>
      <sz val="10"/>
      <name val="Calibri"/>
      <family val="2"/>
      <scheme val="minor"/>
    </font>
    <font>
      <sz val="11"/>
      <name val="Calibri"/>
      <family val="2"/>
    </font>
    <font>
      <b/>
      <sz val="11"/>
      <name val="Calibri"/>
      <family val="2"/>
    </font>
    <font>
      <b/>
      <sz val="9"/>
      <color theme="1"/>
      <name val="Arial Black"/>
      <family val="2"/>
    </font>
  </fonts>
  <fills count="3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7030A0"/>
        <bgColor indexed="64"/>
      </patternFill>
    </fill>
    <fill>
      <patternFill patternType="solid">
        <fgColor theme="9" tint="0.79998168889431442"/>
        <bgColor indexed="64"/>
      </patternFill>
    </fill>
    <fill>
      <patternFill patternType="solid">
        <fgColor rgb="FFFFFF99"/>
        <bgColor indexed="64"/>
      </patternFill>
    </fill>
    <fill>
      <patternFill patternType="solid">
        <fgColor rgb="FF00B050"/>
        <bgColor indexed="64"/>
      </patternFill>
    </fill>
    <fill>
      <patternFill patternType="solid">
        <fgColor rgb="FFFFC7CE"/>
      </patternFill>
    </fill>
    <fill>
      <patternFill patternType="solid">
        <fgColor theme="3" tint="0.399975585192419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rgb="FF538DD5"/>
        <bgColor rgb="FF000000"/>
      </patternFill>
    </fill>
    <fill>
      <patternFill patternType="solid">
        <fgColor rgb="FFB8CCE4"/>
        <bgColor rgb="FF000000"/>
      </patternFill>
    </fill>
    <fill>
      <patternFill patternType="solid">
        <fgColor rgb="FF8DB4E2"/>
        <bgColor rgb="FF000000"/>
      </patternFill>
    </fill>
  </fills>
  <borders count="6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style="thin">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medium">
        <color auto="1"/>
      </right>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s>
  <cellStyleXfs count="3">
    <xf numFmtId="0" fontId="0" fillId="0" borderId="0"/>
    <xf numFmtId="0" fontId="7" fillId="0" borderId="0"/>
    <xf numFmtId="0" fontId="12" fillId="22" borderId="0" applyNumberFormat="0" applyBorder="0" applyAlignment="0" applyProtection="0"/>
  </cellStyleXfs>
  <cellXfs count="414">
    <xf numFmtId="0" fontId="0" fillId="0" borderId="0" xfId="0"/>
    <xf numFmtId="0" fontId="0" fillId="0" borderId="0" xfId="0" applyAlignment="1">
      <alignment horizontal="center" vertical="center"/>
    </xf>
    <xf numFmtId="0" fontId="0" fillId="0" borderId="0" xfId="0"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6" borderId="3" xfId="0" applyFill="1" applyBorder="1" applyAlignment="1">
      <alignment horizontal="center"/>
    </xf>
    <xf numFmtId="0" fontId="0" fillId="0" borderId="4" xfId="0" applyBorder="1" applyAlignment="1">
      <alignment horizontal="center" vertical="center"/>
    </xf>
    <xf numFmtId="0" fontId="0" fillId="0" borderId="5" xfId="0" applyBorder="1" applyAlignment="1">
      <alignment horizontal="right" vertical="center"/>
    </xf>
    <xf numFmtId="0" fontId="0" fillId="0" borderId="7" xfId="0" applyBorder="1"/>
    <xf numFmtId="0" fontId="0" fillId="0" borderId="8" xfId="0" applyBorder="1" applyAlignment="1">
      <alignment horizontal="center" vertical="center"/>
    </xf>
    <xf numFmtId="0" fontId="0" fillId="0" borderId="0" xfId="0" applyBorder="1" applyAlignment="1">
      <alignment horizontal="center" vertical="center"/>
    </xf>
    <xf numFmtId="2" fontId="0" fillId="0" borderId="9" xfId="0" applyNumberFormat="1" applyBorder="1" applyAlignment="1">
      <alignment horizontal="right" vertical="center"/>
    </xf>
    <xf numFmtId="0" fontId="0" fillId="0" borderId="10" xfId="0" applyBorder="1"/>
    <xf numFmtId="0" fontId="0" fillId="0" borderId="0" xfId="0" applyBorder="1"/>
    <xf numFmtId="2" fontId="3" fillId="3" borderId="11" xfId="0" applyNumberFormat="1" applyFont="1" applyFill="1" applyBorder="1" applyAlignment="1">
      <alignment horizontal="right" vertical="center"/>
    </xf>
    <xf numFmtId="2" fontId="2" fillId="0" borderId="9" xfId="0" applyNumberFormat="1" applyFont="1" applyBorder="1" applyAlignment="1">
      <alignment horizontal="right" vertical="center"/>
    </xf>
    <xf numFmtId="0" fontId="0" fillId="0" borderId="0" xfId="0" applyFill="1" applyBorder="1"/>
    <xf numFmtId="2" fontId="2" fillId="3" borderId="11" xfId="0" applyNumberFormat="1" applyFont="1" applyFill="1" applyBorder="1" applyAlignment="1">
      <alignment horizontal="right" vertical="center"/>
    </xf>
    <xf numFmtId="0" fontId="0" fillId="0" borderId="8" xfId="0" applyBorder="1"/>
    <xf numFmtId="0" fontId="2" fillId="0" borderId="1" xfId="0" applyFont="1" applyBorder="1" applyAlignment="1">
      <alignment horizontal="center" vertical="center"/>
    </xf>
    <xf numFmtId="2" fontId="0" fillId="0" borderId="0" xfId="0" applyNumberFormat="1" applyBorder="1" applyAlignment="1">
      <alignment horizontal="right" vertical="center"/>
    </xf>
    <xf numFmtId="2" fontId="0" fillId="7" borderId="9" xfId="0" applyNumberFormat="1" applyFill="1" applyBorder="1" applyAlignment="1">
      <alignment horizontal="right" vertical="center"/>
    </xf>
    <xf numFmtId="0" fontId="0" fillId="0" borderId="1" xfId="0" applyBorder="1" applyAlignment="1">
      <alignment horizontal="center" vertical="center"/>
    </xf>
    <xf numFmtId="0" fontId="0" fillId="0" borderId="12" xfId="0" applyBorder="1"/>
    <xf numFmtId="0" fontId="0" fillId="0" borderId="13" xfId="0" applyBorder="1" applyAlignment="1">
      <alignment horizontal="center" vertical="center"/>
    </xf>
    <xf numFmtId="2" fontId="0" fillId="8" borderId="9" xfId="0" applyNumberFormat="1" applyFill="1" applyBorder="1" applyAlignment="1">
      <alignment horizontal="right" vertical="center"/>
    </xf>
    <xf numFmtId="2" fontId="3" fillId="0" borderId="11" xfId="0" applyNumberFormat="1" applyFont="1" applyBorder="1" applyAlignment="1">
      <alignment horizontal="right" vertical="center"/>
    </xf>
    <xf numFmtId="0" fontId="8" fillId="0" borderId="9" xfId="0" applyFont="1" applyBorder="1" applyAlignment="1">
      <alignment horizontal="center" vertical="center"/>
    </xf>
    <xf numFmtId="0" fontId="0" fillId="0" borderId="9" xfId="0" applyBorder="1" applyAlignment="1">
      <alignment horizontal="right" vertical="center"/>
    </xf>
    <xf numFmtId="2" fontId="0" fillId="9" borderId="0" xfId="0" applyNumberFormat="1" applyFill="1" applyBorder="1" applyAlignment="1">
      <alignment horizontal="right" vertical="center"/>
    </xf>
    <xf numFmtId="2" fontId="3" fillId="10" borderId="18" xfId="0" applyNumberFormat="1" applyFont="1" applyFill="1" applyBorder="1" applyAlignment="1">
      <alignment horizontal="right" vertical="center"/>
    </xf>
    <xf numFmtId="0" fontId="8" fillId="0" borderId="0" xfId="0" applyFont="1" applyBorder="1" applyAlignment="1">
      <alignment horizontal="center" vertical="center"/>
    </xf>
    <xf numFmtId="2" fontId="3" fillId="11" borderId="11" xfId="0" applyNumberFormat="1" applyFont="1" applyFill="1" applyBorder="1" applyAlignment="1">
      <alignment horizontal="right" vertical="center"/>
    </xf>
    <xf numFmtId="2" fontId="3" fillId="5" borderId="11" xfId="0" applyNumberFormat="1" applyFont="1" applyFill="1" applyBorder="1" applyAlignment="1">
      <alignment horizontal="right" vertical="center"/>
    </xf>
    <xf numFmtId="0" fontId="8" fillId="0" borderId="0" xfId="0" applyFont="1" applyAlignment="1">
      <alignment horizontal="center" vertical="center"/>
    </xf>
    <xf numFmtId="0" fontId="0" fillId="0" borderId="22" xfId="0" applyBorder="1"/>
    <xf numFmtId="0" fontId="0" fillId="0" borderId="22" xfId="0" applyBorder="1" applyAlignment="1">
      <alignment horizontal="center" vertical="center"/>
    </xf>
    <xf numFmtId="2" fontId="3" fillId="12" borderId="11" xfId="0" applyNumberFormat="1" applyFont="1" applyFill="1" applyBorder="1" applyAlignment="1">
      <alignment horizontal="right" vertical="center"/>
    </xf>
    <xf numFmtId="2" fontId="0" fillId="0" borderId="0" xfId="0" applyNumberFormat="1" applyAlignment="1">
      <alignment horizontal="right" vertical="center"/>
    </xf>
    <xf numFmtId="0" fontId="0" fillId="6" borderId="11" xfId="0" applyFill="1" applyBorder="1" applyAlignment="1">
      <alignment horizontal="center"/>
    </xf>
    <xf numFmtId="0" fontId="0" fillId="5" borderId="15" xfId="0" applyFill="1" applyBorder="1" applyAlignment="1">
      <alignment horizontal="center" vertical="center"/>
    </xf>
    <xf numFmtId="2" fontId="1" fillId="13" borderId="21" xfId="0" applyNumberFormat="1" applyFont="1" applyFill="1" applyBorder="1" applyAlignment="1">
      <alignment horizontal="right" vertical="center"/>
    </xf>
    <xf numFmtId="2" fontId="3" fillId="13" borderId="11" xfId="0" applyNumberFormat="1" applyFont="1" applyFill="1" applyBorder="1" applyAlignment="1">
      <alignment horizontal="right" vertical="center"/>
    </xf>
    <xf numFmtId="0" fontId="0" fillId="0" borderId="23" xfId="0" applyBorder="1"/>
    <xf numFmtId="2" fontId="0" fillId="13" borderId="9" xfId="0" applyNumberFormat="1" applyFill="1" applyBorder="1" applyAlignment="1">
      <alignment horizontal="right" vertical="center"/>
    </xf>
    <xf numFmtId="2" fontId="3" fillId="0" borderId="9" xfId="0" applyNumberFormat="1" applyFont="1" applyBorder="1" applyAlignment="1">
      <alignment horizontal="right" vertical="center"/>
    </xf>
    <xf numFmtId="0" fontId="0" fillId="0" borderId="24" xfId="0" applyBorder="1"/>
    <xf numFmtId="2" fontId="0" fillId="11" borderId="9" xfId="0" applyNumberFormat="1" applyFill="1" applyBorder="1" applyAlignment="1">
      <alignment horizontal="right" vertical="center"/>
    </xf>
    <xf numFmtId="2" fontId="0" fillId="14" borderId="9" xfId="0" applyNumberFormat="1" applyFill="1" applyBorder="1" applyAlignment="1">
      <alignment horizontal="right" vertical="center"/>
    </xf>
    <xf numFmtId="0" fontId="0" fillId="0" borderId="1" xfId="0" applyBorder="1"/>
    <xf numFmtId="0" fontId="0" fillId="0" borderId="16" xfId="0" applyBorder="1" applyAlignment="1">
      <alignment vertical="top"/>
    </xf>
    <xf numFmtId="0" fontId="0" fillId="15" borderId="0" xfId="0" applyFill="1" applyAlignment="1">
      <alignment horizontal="center" vertical="center"/>
    </xf>
    <xf numFmtId="0" fontId="0" fillId="0" borderId="25" xfId="0" applyBorder="1"/>
    <xf numFmtId="0" fontId="0" fillId="14" borderId="5" xfId="0" applyFill="1" applyBorder="1" applyAlignment="1">
      <alignment horizontal="center" vertical="center"/>
    </xf>
    <xf numFmtId="0" fontId="0" fillId="14" borderId="9" xfId="0" applyFill="1" applyBorder="1" applyAlignment="1">
      <alignment horizontal="center" vertical="center"/>
    </xf>
    <xf numFmtId="2" fontId="0" fillId="0" borderId="9" xfId="0" applyNumberFormat="1" applyBorder="1" applyAlignment="1">
      <alignment horizontal="center" vertical="center"/>
    </xf>
    <xf numFmtId="0" fontId="0" fillId="16" borderId="9" xfId="0" applyFill="1" applyBorder="1" applyAlignment="1">
      <alignment horizontal="center" vertical="center"/>
    </xf>
    <xf numFmtId="0" fontId="0" fillId="16" borderId="9" xfId="0" applyFill="1" applyBorder="1" applyAlignment="1">
      <alignment horizontal="right" vertical="center"/>
    </xf>
    <xf numFmtId="0" fontId="0" fillId="0" borderId="4" xfId="0" applyBorder="1"/>
    <xf numFmtId="0" fontId="0" fillId="17" borderId="5" xfId="0" applyFill="1" applyBorder="1" applyAlignment="1">
      <alignment horizontal="center" vertical="center"/>
    </xf>
    <xf numFmtId="0" fontId="2" fillId="0" borderId="0" xfId="0" applyFont="1" applyBorder="1"/>
    <xf numFmtId="0" fontId="0" fillId="5" borderId="9" xfId="0" applyFill="1" applyBorder="1" applyAlignment="1">
      <alignment horizontal="center" vertical="center"/>
    </xf>
    <xf numFmtId="0" fontId="0" fillId="17" borderId="9" xfId="0" applyFill="1" applyBorder="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0" fontId="0" fillId="17" borderId="3" xfId="0" applyFill="1" applyBorder="1" applyAlignment="1">
      <alignment horizontal="center"/>
    </xf>
    <xf numFmtId="0" fontId="0" fillId="11" borderId="3" xfId="0" applyFill="1" applyBorder="1" applyAlignment="1">
      <alignment horizontal="center"/>
    </xf>
    <xf numFmtId="0" fontId="0" fillId="15" borderId="3" xfId="0" applyFill="1" applyBorder="1" applyAlignment="1">
      <alignment horizontal="center"/>
    </xf>
    <xf numFmtId="0" fontId="4" fillId="18" borderId="3" xfId="0" applyFont="1" applyFill="1" applyBorder="1" applyAlignment="1">
      <alignment horizontal="center"/>
    </xf>
    <xf numFmtId="0" fontId="0" fillId="8" borderId="3" xfId="0" applyFill="1" applyBorder="1" applyAlignment="1">
      <alignment horizontal="center"/>
    </xf>
    <xf numFmtId="0" fontId="2" fillId="19" borderId="8" xfId="0" applyFont="1" applyFill="1" applyBorder="1"/>
    <xf numFmtId="0" fontId="2" fillId="19" borderId="1" xfId="0" applyFont="1" applyFill="1" applyBorder="1" applyAlignment="1">
      <alignment horizontal="center" vertical="center"/>
    </xf>
    <xf numFmtId="2" fontId="0" fillId="0" borderId="0" xfId="0" applyNumberFormat="1" applyFill="1" applyBorder="1" applyAlignment="1">
      <alignment horizontal="right" vertical="center"/>
    </xf>
    <xf numFmtId="0" fontId="2" fillId="0" borderId="0" xfId="0" applyFont="1" applyFill="1" applyBorder="1" applyAlignment="1">
      <alignment horizontal="center" vertical="center"/>
    </xf>
    <xf numFmtId="2" fontId="2" fillId="0" borderId="0" xfId="0" applyNumberFormat="1" applyFont="1" applyFill="1" applyBorder="1" applyAlignment="1">
      <alignment horizontal="right" vertical="center"/>
    </xf>
    <xf numFmtId="2" fontId="0" fillId="0" borderId="9" xfId="0" applyNumberFormat="1" applyFill="1" applyBorder="1" applyAlignment="1">
      <alignment horizontal="right" vertical="center"/>
    </xf>
    <xf numFmtId="0" fontId="0" fillId="0" borderId="5" xfId="0" applyFill="1" applyBorder="1" applyAlignment="1">
      <alignment horizontal="center" vertical="center"/>
    </xf>
    <xf numFmtId="0" fontId="0" fillId="19" borderId="4" xfId="0" applyFill="1" applyBorder="1" applyAlignment="1">
      <alignment horizontal="center" vertical="center"/>
    </xf>
    <xf numFmtId="0" fontId="0" fillId="19" borderId="5" xfId="0" applyFill="1" applyBorder="1" applyAlignment="1">
      <alignment horizontal="center" vertical="center"/>
    </xf>
    <xf numFmtId="0" fontId="0" fillId="0" borderId="5" xfId="0" applyBorder="1"/>
    <xf numFmtId="0" fontId="0" fillId="19" borderId="22" xfId="0" applyFill="1" applyBorder="1" applyAlignment="1">
      <alignment horizontal="center" vertical="center"/>
    </xf>
    <xf numFmtId="0" fontId="0" fillId="19" borderId="26" xfId="0" applyFill="1" applyBorder="1" applyAlignment="1">
      <alignment horizontal="center" vertical="center"/>
    </xf>
    <xf numFmtId="0" fontId="0" fillId="0" borderId="9" xfId="0" applyBorder="1"/>
    <xf numFmtId="0" fontId="0" fillId="0" borderId="2" xfId="0" applyBorder="1" applyAlignment="1">
      <alignment horizontal="center" vertical="center"/>
    </xf>
    <xf numFmtId="0" fontId="0" fillId="0" borderId="21" xfId="0" applyBorder="1" applyAlignment="1">
      <alignment horizontal="center" vertical="center"/>
    </xf>
    <xf numFmtId="0" fontId="0" fillId="0" borderId="26" xfId="0" applyBorder="1"/>
    <xf numFmtId="0" fontId="3" fillId="0" borderId="0"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20" borderId="25" xfId="0" applyFill="1" applyBorder="1" applyAlignment="1">
      <alignment horizontal="center" vertical="center"/>
    </xf>
    <xf numFmtId="0" fontId="0" fillId="20" borderId="27" xfId="0" applyFill="1" applyBorder="1" applyAlignment="1">
      <alignment horizontal="center" vertical="center"/>
    </xf>
    <xf numFmtId="0" fontId="0" fillId="20" borderId="15" xfId="0" applyFill="1" applyBorder="1" applyAlignment="1">
      <alignment horizontal="center" vertical="center"/>
    </xf>
    <xf numFmtId="0" fontId="0" fillId="20" borderId="12" xfId="0" applyFill="1" applyBorder="1" applyAlignment="1">
      <alignment horizontal="center" vertical="center"/>
    </xf>
    <xf numFmtId="0" fontId="0" fillId="20" borderId="13" xfId="0" applyFill="1" applyBorder="1" applyAlignment="1">
      <alignment horizontal="center" vertical="center"/>
    </xf>
    <xf numFmtId="0" fontId="0" fillId="20" borderId="20" xfId="0" applyFill="1" applyBorder="1" applyAlignment="1">
      <alignment horizontal="center" vertical="center"/>
    </xf>
    <xf numFmtId="0" fontId="0" fillId="20" borderId="28" xfId="0" applyFill="1" applyBorder="1" applyAlignment="1">
      <alignment horizontal="center" vertical="center"/>
    </xf>
    <xf numFmtId="0" fontId="0" fillId="20" borderId="29" xfId="0" applyFill="1" applyBorder="1" applyAlignment="1">
      <alignment horizontal="center" vertical="center"/>
    </xf>
    <xf numFmtId="0" fontId="0" fillId="20" borderId="30" xfId="0" applyFill="1" applyBorder="1" applyAlignment="1">
      <alignment horizontal="center" vertical="center"/>
    </xf>
    <xf numFmtId="0" fontId="0" fillId="20" borderId="31" xfId="0" applyFill="1" applyBorder="1" applyAlignment="1">
      <alignment horizontal="center" vertical="center"/>
    </xf>
    <xf numFmtId="0" fontId="0" fillId="5" borderId="32" xfId="0" applyFill="1" applyBorder="1" applyAlignment="1">
      <alignment horizontal="center" vertical="center"/>
    </xf>
    <xf numFmtId="0" fontId="0" fillId="5" borderId="24" xfId="0" applyFill="1" applyBorder="1" applyAlignment="1">
      <alignment horizontal="center" vertical="center"/>
    </xf>
    <xf numFmtId="0" fontId="0" fillId="20" borderId="1" xfId="0" applyFill="1" applyBorder="1" applyAlignment="1">
      <alignment horizontal="center" vertical="center"/>
    </xf>
    <xf numFmtId="0" fontId="0" fillId="20" borderId="17" xfId="0" applyFill="1" applyBorder="1" applyAlignment="1">
      <alignment horizontal="center" vertical="center"/>
    </xf>
    <xf numFmtId="0" fontId="0" fillId="0" borderId="0" xfId="0" applyAlignment="1">
      <alignment horizontal="center"/>
    </xf>
    <xf numFmtId="0" fontId="0" fillId="0" borderId="27" xfId="0" applyBorder="1"/>
    <xf numFmtId="0" fontId="0" fillId="0" borderId="15" xfId="0" applyBorder="1" applyAlignment="1">
      <alignment horizontal="center" vertical="center"/>
    </xf>
    <xf numFmtId="0" fontId="0" fillId="0" borderId="17" xfId="0" applyBorder="1" applyAlignment="1">
      <alignment horizontal="center" vertical="center"/>
    </xf>
    <xf numFmtId="0" fontId="0" fillId="0" borderId="13" xfId="0" applyBorder="1"/>
    <xf numFmtId="0" fontId="0" fillId="0" borderId="20" xfId="0" applyBorder="1" applyAlignment="1">
      <alignment horizontal="center" vertical="center"/>
    </xf>
    <xf numFmtId="0" fontId="2" fillId="0" borderId="17" xfId="0" applyFont="1" applyBorder="1" applyAlignment="1">
      <alignment horizontal="center" vertical="center"/>
    </xf>
    <xf numFmtId="0" fontId="2" fillId="20" borderId="25" xfId="0" applyFont="1" applyFill="1" applyBorder="1" applyAlignment="1">
      <alignment horizontal="center" vertical="center"/>
    </xf>
    <xf numFmtId="0" fontId="2" fillId="20" borderId="12" xfId="0" applyFont="1" applyFill="1" applyBorder="1" applyAlignment="1">
      <alignment horizontal="center" vertical="center"/>
    </xf>
    <xf numFmtId="0" fontId="2" fillId="20" borderId="27" xfId="0" applyFont="1" applyFill="1" applyBorder="1" applyAlignment="1">
      <alignment horizontal="center" vertical="center"/>
    </xf>
    <xf numFmtId="0" fontId="2" fillId="20" borderId="29" xfId="0" applyFont="1" applyFill="1" applyBorder="1" applyAlignment="1">
      <alignment horizontal="center" vertical="center"/>
    </xf>
    <xf numFmtId="0" fontId="0" fillId="0" borderId="0" xfId="0"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wrapText="1"/>
    </xf>
    <xf numFmtId="0" fontId="0" fillId="0" borderId="33" xfId="0" applyBorder="1" applyAlignment="1">
      <alignment horizontal="center" vertical="center"/>
    </xf>
    <xf numFmtId="0" fontId="0" fillId="0" borderId="33" xfId="0" applyBorder="1"/>
    <xf numFmtId="0" fontId="0" fillId="0" borderId="3" xfId="0" applyBorder="1" applyAlignment="1">
      <alignment horizontal="center" vertical="center"/>
    </xf>
    <xf numFmtId="0" fontId="0" fillId="0" borderId="37" xfId="0" applyBorder="1" applyAlignment="1">
      <alignment horizontal="center" vertical="center" wrapText="1"/>
    </xf>
    <xf numFmtId="0" fontId="0" fillId="0" borderId="28" xfId="0" applyBorder="1" applyAlignment="1">
      <alignment horizontal="center" vertical="center"/>
    </xf>
    <xf numFmtId="0" fontId="0" fillId="0" borderId="28" xfId="0" applyBorder="1"/>
    <xf numFmtId="0" fontId="0" fillId="0" borderId="29" xfId="0" applyBorder="1" applyAlignment="1">
      <alignment horizontal="center" vertical="center"/>
    </xf>
    <xf numFmtId="0" fontId="0" fillId="12" borderId="28" xfId="0" applyFill="1" applyBorder="1"/>
    <xf numFmtId="0" fontId="0" fillId="12" borderId="0" xfId="0" applyFill="1" applyAlignment="1">
      <alignment horizontal="center" vertical="center"/>
    </xf>
    <xf numFmtId="0" fontId="0" fillId="21" borderId="0" xfId="0" applyFill="1" applyAlignment="1">
      <alignment horizontal="center" vertical="center"/>
    </xf>
    <xf numFmtId="0" fontId="0" fillId="15" borderId="15" xfId="0" applyFill="1"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center" vertical="center" wrapText="1"/>
    </xf>
    <xf numFmtId="0" fontId="0" fillId="0" borderId="41" xfId="0" applyBorder="1" applyAlignment="1">
      <alignment horizontal="center" vertical="center" wrapText="1"/>
    </xf>
    <xf numFmtId="0" fontId="0" fillId="0" borderId="9" xfId="0" applyBorder="1" applyAlignment="1">
      <alignment horizontal="center" vertical="center"/>
    </xf>
    <xf numFmtId="0" fontId="3" fillId="0" borderId="18" xfId="0" applyFont="1" applyBorder="1" applyAlignment="1">
      <alignment horizontal="center" vertical="center"/>
    </xf>
    <xf numFmtId="0" fontId="4" fillId="21" borderId="3" xfId="0" applyFont="1" applyFill="1"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12" borderId="11" xfId="0" applyFill="1"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35" xfId="0" applyBorder="1"/>
    <xf numFmtId="0" fontId="0" fillId="0" borderId="45" xfId="0" applyBorder="1" applyAlignment="1">
      <alignment horizontal="center" vertical="center"/>
    </xf>
    <xf numFmtId="0" fontId="0" fillId="0" borderId="30" xfId="0" applyBorder="1"/>
    <xf numFmtId="0" fontId="0" fillId="0" borderId="31" xfId="0" applyBorder="1" applyAlignment="1">
      <alignment horizontal="center" vertical="center"/>
    </xf>
    <xf numFmtId="0" fontId="0" fillId="0" borderId="11" xfId="0" applyBorder="1" applyAlignment="1">
      <alignment horizontal="center" vertical="center" wrapText="1"/>
    </xf>
    <xf numFmtId="0" fontId="0" fillId="0" borderId="41" xfId="0" applyBorder="1" applyAlignment="1">
      <alignment horizontal="center" vertical="center"/>
    </xf>
    <xf numFmtId="0" fontId="0" fillId="0" borderId="11" xfId="0" applyFill="1" applyBorder="1" applyAlignment="1">
      <alignment horizontal="center" vertical="center"/>
    </xf>
    <xf numFmtId="0" fontId="0" fillId="20" borderId="51" xfId="0" applyFill="1" applyBorder="1" applyAlignment="1">
      <alignment horizontal="center" vertical="center"/>
    </xf>
    <xf numFmtId="0" fontId="0" fillId="20" borderId="14" xfId="0" applyFill="1" applyBorder="1" applyAlignment="1">
      <alignment horizontal="center" vertical="center"/>
    </xf>
    <xf numFmtId="0" fontId="0" fillId="20" borderId="19" xfId="0" applyFill="1" applyBorder="1" applyAlignment="1">
      <alignment horizontal="center" vertical="center"/>
    </xf>
    <xf numFmtId="0" fontId="0" fillId="5" borderId="2" xfId="0" applyFill="1" applyBorder="1" applyAlignment="1">
      <alignment horizontal="center" vertical="center"/>
    </xf>
    <xf numFmtId="0" fontId="0" fillId="5" borderId="21" xfId="0" applyFill="1" applyBorder="1" applyAlignment="1">
      <alignment horizontal="center" vertical="center"/>
    </xf>
    <xf numFmtId="0" fontId="0" fillId="20" borderId="52" xfId="0" applyFill="1" applyBorder="1" applyAlignment="1">
      <alignment horizontal="center" vertical="center"/>
    </xf>
    <xf numFmtId="0" fontId="0" fillId="20" borderId="16" xfId="0" applyFill="1"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3" fillId="0" borderId="11" xfId="0" applyFont="1"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6" xfId="0" applyBorder="1"/>
    <xf numFmtId="0" fontId="0" fillId="14" borderId="1" xfId="0" applyFill="1" applyBorder="1"/>
    <xf numFmtId="0" fontId="0" fillId="14" borderId="8" xfId="0" applyFill="1" applyBorder="1"/>
    <xf numFmtId="0" fontId="0" fillId="14" borderId="0" xfId="0" applyFill="1"/>
    <xf numFmtId="0" fontId="0" fillId="0" borderId="0" xfId="0" applyFill="1"/>
    <xf numFmtId="0" fontId="0" fillId="14" borderId="56" xfId="0" applyFill="1" applyBorder="1"/>
    <xf numFmtId="0" fontId="0" fillId="0" borderId="34" xfId="0" applyBorder="1"/>
    <xf numFmtId="0" fontId="3" fillId="0" borderId="3" xfId="0" applyFont="1" applyBorder="1"/>
    <xf numFmtId="0" fontId="0" fillId="0" borderId="1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3" fillId="0" borderId="32" xfId="0" applyFont="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0" fillId="14" borderId="1" xfId="0" applyFill="1" applyBorder="1" applyAlignment="1">
      <alignment horizontal="left"/>
    </xf>
    <xf numFmtId="0" fontId="0" fillId="14" borderId="51" xfId="0" applyFill="1" applyBorder="1" applyAlignment="1">
      <alignment horizontal="left"/>
    </xf>
    <xf numFmtId="0" fontId="0" fillId="0" borderId="0" xfId="0" applyFill="1" applyBorder="1" applyAlignment="1">
      <alignment horizontal="left"/>
    </xf>
    <xf numFmtId="0" fontId="0" fillId="0" borderId="0" xfId="0" applyFill="1" applyAlignment="1">
      <alignment horizontal="left"/>
    </xf>
    <xf numFmtId="0" fontId="0" fillId="14" borderId="0" xfId="0" applyFill="1" applyAlignment="1">
      <alignment horizontal="left"/>
    </xf>
    <xf numFmtId="0" fontId="12" fillId="22" borderId="51" xfId="2" applyBorder="1" applyAlignment="1">
      <alignment horizontal="left" vertical="center"/>
    </xf>
    <xf numFmtId="0" fontId="0" fillId="10" borderId="1" xfId="0" applyFill="1" applyBorder="1"/>
    <xf numFmtId="0" fontId="3" fillId="0" borderId="18" xfId="0" applyFont="1" applyBorder="1" applyAlignment="1">
      <alignment horizontal="right" vertical="center"/>
    </xf>
    <xf numFmtId="0" fontId="3" fillId="0" borderId="18" xfId="0" applyFont="1" applyBorder="1"/>
    <xf numFmtId="0" fontId="0" fillId="0" borderId="5" xfId="0" applyFill="1" applyBorder="1" applyAlignment="1">
      <alignment horizontal="right" vertical="center"/>
    </xf>
    <xf numFmtId="2" fontId="3" fillId="0" borderId="11" xfId="0" applyNumberFormat="1" applyFont="1" applyFill="1" applyBorder="1" applyAlignment="1">
      <alignment horizontal="right" vertical="center"/>
    </xf>
    <xf numFmtId="2" fontId="2" fillId="0" borderId="9" xfId="0" applyNumberFormat="1" applyFont="1" applyFill="1" applyBorder="1" applyAlignment="1">
      <alignment horizontal="right" vertical="center"/>
    </xf>
    <xf numFmtId="2" fontId="2" fillId="0" borderId="11" xfId="0" applyNumberFormat="1" applyFont="1" applyFill="1" applyBorder="1" applyAlignment="1">
      <alignment horizontal="right" vertical="center"/>
    </xf>
    <xf numFmtId="0" fontId="2" fillId="0" borderId="1" xfId="0" applyFont="1" applyFill="1" applyBorder="1" applyAlignment="1">
      <alignment horizontal="center" vertical="center"/>
    </xf>
    <xf numFmtId="2" fontId="8" fillId="0" borderId="11"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0" fillId="0" borderId="9" xfId="0" applyFill="1" applyBorder="1" applyAlignment="1">
      <alignment horizontal="right" vertical="center"/>
    </xf>
    <xf numFmtId="2" fontId="8" fillId="0" borderId="18" xfId="0" applyNumberFormat="1" applyFont="1" applyFill="1" applyBorder="1" applyAlignment="1">
      <alignment horizontal="right" vertical="center"/>
    </xf>
    <xf numFmtId="2" fontId="0" fillId="0" borderId="0" xfId="0" applyNumberFormat="1" applyFill="1" applyAlignment="1">
      <alignment horizontal="right" vertical="center"/>
    </xf>
    <xf numFmtId="0" fontId="3" fillId="0" borderId="0" xfId="0" applyFont="1" applyFill="1" applyAlignment="1">
      <alignment horizontal="right" vertical="center"/>
    </xf>
    <xf numFmtId="0" fontId="0" fillId="0" borderId="15" xfId="0" applyFill="1" applyBorder="1" applyAlignment="1">
      <alignment horizontal="center" vertical="center"/>
    </xf>
    <xf numFmtId="2" fontId="1" fillId="0" borderId="21" xfId="0" applyNumberFormat="1" applyFont="1" applyFill="1" applyBorder="1" applyAlignment="1">
      <alignment horizontal="right" vertical="center"/>
    </xf>
    <xf numFmtId="2" fontId="3" fillId="0" borderId="9" xfId="0" applyNumberFormat="1" applyFont="1" applyFill="1" applyBorder="1" applyAlignment="1">
      <alignment horizontal="right" vertical="center"/>
    </xf>
    <xf numFmtId="0" fontId="0" fillId="0" borderId="0" xfId="0" applyFill="1" applyAlignment="1">
      <alignment horizontal="right" vertical="center"/>
    </xf>
    <xf numFmtId="0" fontId="0" fillId="0" borderId="9" xfId="0" applyFill="1" applyBorder="1" applyAlignment="1">
      <alignment horizontal="center" vertical="center"/>
    </xf>
    <xf numFmtId="2" fontId="0" fillId="0" borderId="9" xfId="0" applyNumberFormat="1" applyFill="1" applyBorder="1" applyAlignment="1">
      <alignment horizontal="center" vertical="center"/>
    </xf>
    <xf numFmtId="2" fontId="0" fillId="0" borderId="0" xfId="0" applyNumberFormat="1"/>
    <xf numFmtId="0" fontId="0" fillId="0" borderId="49" xfId="0" applyBorder="1" applyAlignment="1">
      <alignment vertical="center"/>
    </xf>
    <xf numFmtId="0" fontId="0" fillId="0" borderId="17" xfId="0" applyBorder="1" applyAlignment="1">
      <alignment horizontal="center" vertical="center"/>
    </xf>
    <xf numFmtId="0" fontId="14" fillId="0" borderId="0" xfId="0" applyFont="1"/>
    <xf numFmtId="0" fontId="15" fillId="23" borderId="53" xfId="0" applyFont="1" applyFill="1" applyBorder="1" applyAlignment="1">
      <alignment horizontal="center" vertical="center"/>
    </xf>
    <xf numFmtId="0" fontId="16" fillId="23" borderId="15" xfId="0" applyFont="1" applyFill="1" applyBorder="1" applyAlignment="1">
      <alignment horizontal="center" vertical="center" wrapText="1"/>
    </xf>
    <xf numFmtId="0" fontId="0" fillId="23" borderId="55" xfId="0" applyFill="1" applyBorder="1" applyAlignment="1">
      <alignment wrapText="1"/>
    </xf>
    <xf numFmtId="2" fontId="0" fillId="0" borderId="22" xfId="0" applyNumberFormat="1" applyBorder="1" applyAlignment="1">
      <alignment horizontal="center" vertical="center"/>
    </xf>
    <xf numFmtId="0" fontId="16" fillId="23" borderId="20" xfId="0" applyFont="1" applyFill="1" applyBorder="1" applyAlignment="1">
      <alignment horizontal="center" vertical="center"/>
    </xf>
    <xf numFmtId="0" fontId="17" fillId="24" borderId="58" xfId="0" applyFont="1" applyFill="1" applyBorder="1" applyAlignment="1">
      <alignment horizontal="center" vertical="center"/>
    </xf>
    <xf numFmtId="0" fontId="16" fillId="24" borderId="54" xfId="0" applyFont="1" applyFill="1" applyBorder="1"/>
    <xf numFmtId="2" fontId="0" fillId="0" borderId="25" xfId="0" applyNumberFormat="1" applyBorder="1" applyAlignment="1">
      <alignment horizontal="center" vertical="center"/>
    </xf>
    <xf numFmtId="2" fontId="0" fillId="0" borderId="27" xfId="0" applyNumberFormat="1" applyBorder="1" applyAlignment="1">
      <alignment horizontal="center" vertical="center"/>
    </xf>
    <xf numFmtId="2" fontId="16" fillId="24" borderId="15" xfId="0" applyNumberFormat="1" applyFont="1" applyFill="1" applyBorder="1" applyAlignment="1">
      <alignment horizontal="center" vertical="center"/>
    </xf>
    <xf numFmtId="165" fontId="0" fillId="0" borderId="0" xfId="0" applyNumberFormat="1"/>
    <xf numFmtId="2" fontId="0" fillId="0" borderId="8" xfId="0" applyNumberFormat="1" applyBorder="1" applyAlignment="1">
      <alignment horizontal="center" vertical="center"/>
    </xf>
    <xf numFmtId="2" fontId="0" fillId="0" borderId="1" xfId="0" applyNumberFormat="1" applyBorder="1" applyAlignment="1">
      <alignment horizontal="center" vertical="center"/>
    </xf>
    <xf numFmtId="2" fontId="16" fillId="24" borderId="17" xfId="0" applyNumberFormat="1" applyFont="1" applyFill="1" applyBorder="1" applyAlignment="1">
      <alignment horizontal="center" vertical="center"/>
    </xf>
    <xf numFmtId="0" fontId="16" fillId="24" borderId="55" xfId="0" applyFont="1" applyFill="1" applyBorder="1"/>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2" fontId="16" fillId="24" borderId="20" xfId="0" applyNumberFormat="1" applyFont="1" applyFill="1" applyBorder="1" applyAlignment="1">
      <alignment horizontal="center" vertical="center"/>
    </xf>
    <xf numFmtId="0" fontId="3" fillId="24" borderId="53" xfId="0" applyFont="1" applyFill="1" applyBorder="1"/>
    <xf numFmtId="0" fontId="0" fillId="24" borderId="55" xfId="0" applyFill="1" applyBorder="1"/>
    <xf numFmtId="2" fontId="0" fillId="0" borderId="41" xfId="0" applyNumberFormat="1" applyBorder="1" applyAlignment="1">
      <alignment horizontal="center" vertical="center"/>
    </xf>
    <xf numFmtId="2" fontId="0" fillId="0" borderId="28" xfId="0" applyNumberFormat="1" applyBorder="1" applyAlignment="1">
      <alignment horizontal="center" vertical="center"/>
    </xf>
    <xf numFmtId="2" fontId="16" fillId="24" borderId="29" xfId="0" applyNumberFormat="1" applyFont="1" applyFill="1" applyBorder="1" applyAlignment="1">
      <alignment horizontal="center" vertical="center"/>
    </xf>
    <xf numFmtId="0" fontId="17" fillId="24" borderId="53" xfId="0" applyFont="1" applyFill="1" applyBorder="1" applyAlignment="1">
      <alignment horizontal="center" vertical="center"/>
    </xf>
    <xf numFmtId="0" fontId="0" fillId="24" borderId="54" xfId="0" applyFill="1" applyBorder="1"/>
    <xf numFmtId="0" fontId="3" fillId="25" borderId="21" xfId="0" applyFont="1" applyFill="1" applyBorder="1"/>
    <xf numFmtId="165" fontId="17" fillId="25" borderId="31" xfId="0" applyNumberFormat="1" applyFont="1" applyFill="1" applyBorder="1" applyAlignment="1">
      <alignment horizontal="center" vertical="center"/>
    </xf>
    <xf numFmtId="165" fontId="17" fillId="10" borderId="8" xfId="0" applyNumberFormat="1" applyFont="1" applyFill="1" applyBorder="1" applyAlignment="1">
      <alignment horizontal="center" vertical="center"/>
    </xf>
    <xf numFmtId="0" fontId="0" fillId="25" borderId="35" xfId="0" applyFill="1" applyBorder="1"/>
    <xf numFmtId="0" fontId="0" fillId="26" borderId="14" xfId="0" applyFill="1" applyBorder="1"/>
    <xf numFmtId="0" fontId="0" fillId="26" borderId="16" xfId="0" applyFill="1" applyBorder="1" applyAlignment="1">
      <alignment wrapText="1"/>
    </xf>
    <xf numFmtId="0" fontId="16" fillId="16" borderId="16" xfId="0" applyFont="1" applyFill="1" applyBorder="1"/>
    <xf numFmtId="0" fontId="16" fillId="16" borderId="17" xfId="0" applyFont="1" applyFill="1" applyBorder="1" applyAlignment="1">
      <alignment horizontal="center" vertical="center"/>
    </xf>
    <xf numFmtId="0" fontId="0" fillId="16" borderId="16" xfId="0" applyFill="1" applyBorder="1"/>
    <xf numFmtId="0" fontId="3" fillId="26" borderId="19" xfId="0" applyFont="1" applyFill="1" applyBorder="1"/>
    <xf numFmtId="166" fontId="3" fillId="26" borderId="20" xfId="0" applyNumberFormat="1" applyFont="1" applyFill="1" applyBorder="1" applyAlignment="1">
      <alignment horizontal="center" vertical="center"/>
    </xf>
    <xf numFmtId="166" fontId="0" fillId="0" borderId="0" xfId="0" applyNumberFormat="1" applyAlignment="1">
      <alignment horizontal="center" vertical="center" wrapText="1"/>
    </xf>
    <xf numFmtId="0" fontId="0" fillId="27" borderId="14" xfId="0" applyFill="1" applyBorder="1"/>
    <xf numFmtId="0" fontId="16" fillId="5" borderId="16" xfId="0" applyFont="1" applyFill="1" applyBorder="1"/>
    <xf numFmtId="0" fontId="16" fillId="5" borderId="17" xfId="0" applyFont="1" applyFill="1" applyBorder="1" applyAlignment="1">
      <alignment horizontal="center" vertical="center"/>
    </xf>
    <xf numFmtId="0" fontId="3" fillId="27" borderId="19" xfId="0" applyFont="1" applyFill="1" applyBorder="1"/>
    <xf numFmtId="166" fontId="3" fillId="27" borderId="20" xfId="0" applyNumberFormat="1" applyFont="1" applyFill="1" applyBorder="1" applyAlignment="1">
      <alignment horizontal="center" vertical="center"/>
    </xf>
    <xf numFmtId="0" fontId="18" fillId="25" borderId="14" xfId="0" applyFont="1" applyFill="1" applyBorder="1"/>
    <xf numFmtId="166" fontId="19" fillId="0" borderId="15" xfId="0" applyNumberFormat="1" applyFont="1" applyBorder="1" applyAlignment="1">
      <alignment vertical="center"/>
    </xf>
    <xf numFmtId="0" fontId="18" fillId="26" borderId="16" xfId="0" applyFont="1" applyFill="1" applyBorder="1"/>
    <xf numFmtId="166" fontId="19" fillId="0" borderId="17" xfId="0" applyNumberFormat="1" applyFont="1" applyBorder="1" applyAlignment="1">
      <alignment vertical="center"/>
    </xf>
    <xf numFmtId="166" fontId="19" fillId="0" borderId="20" xfId="0" applyNumberFormat="1" applyFont="1" applyBorder="1" applyAlignment="1">
      <alignment vertical="center"/>
    </xf>
    <xf numFmtId="0" fontId="0" fillId="0" borderId="38" xfId="0" applyBorder="1"/>
    <xf numFmtId="0" fontId="0" fillId="0" borderId="62" xfId="0" applyBorder="1" applyAlignment="1">
      <alignment horizontal="center" vertical="center"/>
    </xf>
    <xf numFmtId="0" fontId="13" fillId="12" borderId="11" xfId="0" applyFont="1" applyFill="1" applyBorder="1" applyAlignment="1">
      <alignment horizontal="center" vertical="center"/>
    </xf>
    <xf numFmtId="166" fontId="19" fillId="12" borderId="11" xfId="0" applyNumberFormat="1" applyFont="1" applyFill="1" applyBorder="1" applyAlignment="1">
      <alignment vertical="center"/>
    </xf>
    <xf numFmtId="0" fontId="0" fillId="24" borderId="1" xfId="0" applyFill="1" applyBorder="1"/>
    <xf numFmtId="0" fontId="16" fillId="24" borderId="1" xfId="0" applyFont="1" applyFill="1" applyBorder="1"/>
    <xf numFmtId="0" fontId="20" fillId="0" borderId="0" xfId="0" applyFont="1"/>
    <xf numFmtId="0" fontId="21" fillId="28" borderId="0" xfId="0" applyFont="1" applyFill="1" applyAlignment="1">
      <alignment horizontal="left"/>
    </xf>
    <xf numFmtId="4" fontId="21" fillId="28" borderId="0" xfId="0" applyNumberFormat="1" applyFont="1" applyFill="1"/>
    <xf numFmtId="0" fontId="20" fillId="24" borderId="1" xfId="0" applyFont="1" applyFill="1" applyBorder="1"/>
    <xf numFmtId="4" fontId="20" fillId="0" borderId="0" xfId="0" applyNumberFormat="1" applyFont="1"/>
    <xf numFmtId="0" fontId="22" fillId="24" borderId="1" xfId="0" applyFont="1" applyFill="1" applyBorder="1"/>
    <xf numFmtId="4" fontId="21" fillId="0" borderId="0" xfId="0" applyNumberFormat="1" applyFont="1"/>
    <xf numFmtId="0" fontId="20" fillId="0" borderId="0" xfId="0" applyFont="1" applyAlignment="1">
      <alignment horizontal="left" indent="1"/>
    </xf>
    <xf numFmtId="0" fontId="21" fillId="0" borderId="0" xfId="0" applyFont="1" applyAlignment="1">
      <alignment horizontal="left" indent="1"/>
    </xf>
    <xf numFmtId="0" fontId="21" fillId="0" borderId="0" xfId="0" applyFont="1"/>
    <xf numFmtId="0" fontId="0" fillId="27" borderId="15" xfId="0" applyFill="1" applyBorder="1" applyAlignment="1">
      <alignment horizontal="center" vertical="center"/>
    </xf>
    <xf numFmtId="0" fontId="8" fillId="14" borderId="1" xfId="0" applyFont="1" applyFill="1" applyBorder="1" applyAlignment="1">
      <alignment horizontal="left"/>
    </xf>
    <xf numFmtId="0" fontId="8" fillId="0" borderId="1" xfId="0" applyFont="1" applyBorder="1"/>
    <xf numFmtId="0" fontId="4" fillId="11" borderId="8" xfId="0" applyFont="1" applyFill="1" applyBorder="1"/>
    <xf numFmtId="0" fontId="0" fillId="10" borderId="0" xfId="0" applyFill="1"/>
    <xf numFmtId="0" fontId="0" fillId="10" borderId="1" xfId="0" applyFill="1" applyBorder="1" applyAlignment="1">
      <alignment horizontal="center" vertical="center"/>
    </xf>
    <xf numFmtId="0" fontId="0" fillId="10" borderId="8" xfId="0" applyFill="1" applyBorder="1" applyAlignment="1">
      <alignment horizontal="center" vertical="center" wrapText="1"/>
    </xf>
    <xf numFmtId="0" fontId="0" fillId="10" borderId="0" xfId="0" applyFill="1" applyBorder="1" applyAlignment="1">
      <alignment horizontal="center" vertical="center" wrapText="1"/>
    </xf>
    <xf numFmtId="0" fontId="0" fillId="10" borderId="1" xfId="0" applyFill="1" applyBorder="1" applyAlignment="1">
      <alignment horizontal="center" vertical="center" wrapText="1"/>
    </xf>
    <xf numFmtId="2" fontId="0" fillId="0" borderId="0" xfId="0" applyNumberFormat="1" applyFill="1" applyBorder="1" applyAlignment="1">
      <alignment horizontal="center" vertical="center"/>
    </xf>
    <xf numFmtId="2" fontId="0" fillId="0" borderId="0" xfId="0" applyNumberFormat="1" applyAlignment="1">
      <alignment horizontal="center" vertical="center" wrapText="1"/>
    </xf>
    <xf numFmtId="0" fontId="23" fillId="29" borderId="51" xfId="0" applyFont="1" applyFill="1" applyBorder="1" applyAlignment="1">
      <alignment wrapText="1"/>
    </xf>
    <xf numFmtId="0" fontId="23" fillId="29" borderId="51" xfId="0" applyFont="1" applyFill="1" applyBorder="1"/>
    <xf numFmtId="165" fontId="24" fillId="30" borderId="1" xfId="0" applyNumberFormat="1" applyFont="1" applyFill="1" applyBorder="1"/>
    <xf numFmtId="2" fontId="23" fillId="30" borderId="1" xfId="0" applyNumberFormat="1" applyFont="1" applyFill="1" applyBorder="1"/>
    <xf numFmtId="165" fontId="24" fillId="31" borderId="1" xfId="0" applyNumberFormat="1" applyFont="1" applyFill="1" applyBorder="1"/>
    <xf numFmtId="165" fontId="23" fillId="31" borderId="1" xfId="0" applyNumberFormat="1" applyFont="1" applyFill="1" applyBorder="1"/>
    <xf numFmtId="0" fontId="0" fillId="23" borderId="1" xfId="0" applyFill="1" applyBorder="1"/>
    <xf numFmtId="0" fontId="0" fillId="23" borderId="1" xfId="0" applyFill="1" applyBorder="1" applyAlignment="1">
      <alignment wrapText="1"/>
    </xf>
    <xf numFmtId="0" fontId="17" fillId="24" borderId="1" xfId="0" applyFont="1" applyFill="1" applyBorder="1"/>
    <xf numFmtId="0" fontId="3" fillId="24" borderId="1" xfId="0" applyFont="1" applyFill="1" applyBorder="1"/>
    <xf numFmtId="0" fontId="3" fillId="25" borderId="1" xfId="0" applyFont="1" applyFill="1" applyBorder="1"/>
    <xf numFmtId="0" fontId="0" fillId="25" borderId="1" xfId="0" applyFill="1" applyBorder="1"/>
    <xf numFmtId="2" fontId="17" fillId="10" borderId="8" xfId="0" applyNumberFormat="1" applyFont="1" applyFill="1" applyBorder="1" applyAlignment="1">
      <alignment horizontal="center" vertical="center"/>
    </xf>
    <xf numFmtId="0" fontId="25" fillId="27" borderId="19" xfId="0" applyFont="1" applyFill="1" applyBorder="1"/>
    <xf numFmtId="0" fontId="18" fillId="0" borderId="14" xfId="0" applyFont="1" applyBorder="1"/>
    <xf numFmtId="0" fontId="18" fillId="25" borderId="16" xfId="0" applyFont="1" applyFill="1" applyBorder="1"/>
    <xf numFmtId="0" fontId="25" fillId="27" borderId="16" xfId="0" applyFont="1" applyFill="1" applyBorder="1"/>
    <xf numFmtId="0" fontId="0" fillId="0" borderId="16" xfId="0" applyBorder="1"/>
    <xf numFmtId="0" fontId="19" fillId="12" borderId="19" xfId="0" applyFont="1" applyFill="1" applyBorder="1" applyAlignment="1">
      <alignment horizontal="center" vertical="center"/>
    </xf>
    <xf numFmtId="0" fontId="19" fillId="2" borderId="19" xfId="0" applyFont="1" applyFill="1" applyBorder="1" applyAlignment="1">
      <alignment horizontal="center" vertical="center"/>
    </xf>
    <xf numFmtId="166" fontId="19" fillId="2" borderId="20" xfId="0" applyNumberFormat="1" applyFont="1" applyFill="1" applyBorder="1" applyAlignment="1">
      <alignment vertical="center"/>
    </xf>
    <xf numFmtId="0" fontId="0" fillId="0" borderId="17" xfId="0" applyBorder="1" applyAlignment="1">
      <alignment horizontal="left" vertical="center"/>
    </xf>
    <xf numFmtId="0" fontId="18" fillId="0" borderId="16" xfId="0" applyFont="1" applyBorder="1"/>
    <xf numFmtId="0" fontId="0" fillId="0" borderId="44" xfId="0" applyBorder="1"/>
    <xf numFmtId="0" fontId="0" fillId="0" borderId="45" xfId="0" applyBorder="1" applyAlignment="1">
      <alignment horizontal="left" vertical="center"/>
    </xf>
    <xf numFmtId="4" fontId="20" fillId="12" borderId="0" xfId="0" applyNumberFormat="1" applyFont="1" applyFill="1"/>
    <xf numFmtId="4" fontId="21" fillId="12" borderId="0" xfId="0" applyNumberFormat="1" applyFont="1" applyFill="1"/>
    <xf numFmtId="0" fontId="0" fillId="0" borderId="15"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vertical="center"/>
    </xf>
    <xf numFmtId="0" fontId="0" fillId="0" borderId="53" xfId="0" applyBorder="1"/>
    <xf numFmtId="167" fontId="0" fillId="0" borderId="57" xfId="0" applyNumberFormat="1" applyBorder="1" applyAlignment="1">
      <alignment horizontal="center" vertical="center"/>
    </xf>
    <xf numFmtId="0" fontId="0" fillId="0" borderId="54" xfId="0" applyBorder="1"/>
    <xf numFmtId="167" fontId="0" fillId="0" borderId="64" xfId="0" applyNumberFormat="1" applyBorder="1" applyAlignment="1">
      <alignment horizontal="center" vertical="center"/>
    </xf>
    <xf numFmtId="0" fontId="0" fillId="0" borderId="55" xfId="0" applyBorder="1"/>
    <xf numFmtId="167" fontId="0" fillId="0" borderId="10" xfId="0" applyNumberFormat="1" applyBorder="1" applyAlignment="1">
      <alignment horizontal="center" vertical="center"/>
    </xf>
    <xf numFmtId="0" fontId="3" fillId="0" borderId="24" xfId="0" applyFont="1" applyBorder="1"/>
    <xf numFmtId="168" fontId="3" fillId="0" borderId="31" xfId="0" applyNumberFormat="1" applyFont="1" applyBorder="1" applyAlignment="1">
      <alignment horizontal="center" vertical="center"/>
    </xf>
    <xf numFmtId="0" fontId="0" fillId="14" borderId="1" xfId="0" applyFill="1" applyBorder="1" applyAlignment="1">
      <alignment horizontal="center" vertical="center"/>
    </xf>
    <xf numFmtId="0" fontId="0" fillId="14" borderId="34" xfId="0" applyFill="1" applyBorder="1" applyAlignment="1">
      <alignment horizontal="center" vertical="center"/>
    </xf>
    <xf numFmtId="0" fontId="0" fillId="14" borderId="39" xfId="0" applyFill="1" applyBorder="1" applyAlignment="1">
      <alignment horizontal="center" vertical="center"/>
    </xf>
    <xf numFmtId="0" fontId="0" fillId="14" borderId="35" xfId="0" applyFill="1" applyBorder="1" applyAlignment="1">
      <alignment horizontal="center" vertical="center"/>
    </xf>
    <xf numFmtId="0" fontId="0" fillId="14" borderId="1" xfId="0" applyFill="1" applyBorder="1" applyAlignment="1">
      <alignment horizontal="center" vertical="center" wrapText="1"/>
    </xf>
    <xf numFmtId="0" fontId="0" fillId="14" borderId="1" xfId="0" applyFill="1" applyBorder="1" applyAlignment="1">
      <alignment horizontal="left" vertical="center"/>
    </xf>
    <xf numFmtId="0" fontId="0" fillId="14" borderId="0" xfId="0" applyFill="1" applyAlignment="1">
      <alignment horizontal="center" vertical="center"/>
    </xf>
    <xf numFmtId="0" fontId="0" fillId="10" borderId="1" xfId="0" applyFill="1" applyBorder="1" applyAlignment="1">
      <alignment horizontal="left" vertical="center"/>
    </xf>
    <xf numFmtId="0" fontId="0" fillId="10" borderId="0" xfId="0" applyFill="1" applyAlignment="1">
      <alignment horizontal="center" vertical="center"/>
    </xf>
    <xf numFmtId="0" fontId="0" fillId="12" borderId="1" xfId="0" applyFill="1" applyBorder="1" applyAlignment="1">
      <alignment horizontal="left" vertical="center"/>
    </xf>
    <xf numFmtId="0" fontId="0" fillId="12" borderId="0" xfId="0" applyFill="1" applyAlignment="1">
      <alignment horizontal="center" vertical="center"/>
    </xf>
    <xf numFmtId="0" fontId="0" fillId="0" borderId="17" xfId="0" applyBorder="1" applyAlignment="1">
      <alignment horizontal="center" vertical="center"/>
    </xf>
    <xf numFmtId="0" fontId="0" fillId="14" borderId="34" xfId="0" applyFill="1" applyBorder="1" applyAlignment="1">
      <alignment horizontal="center" vertical="center" wrapText="1"/>
    </xf>
    <xf numFmtId="0" fontId="0" fillId="14" borderId="39" xfId="0" applyFill="1" applyBorder="1" applyAlignment="1">
      <alignment horizontal="center" vertical="center" wrapText="1"/>
    </xf>
    <xf numFmtId="0" fontId="0" fillId="14" borderId="35" xfId="0" applyFill="1" applyBorder="1" applyAlignment="1">
      <alignment horizontal="center" vertical="center" wrapText="1"/>
    </xf>
    <xf numFmtId="0" fontId="16" fillId="14" borderId="63" xfId="0" applyFont="1" applyFill="1" applyBorder="1" applyAlignment="1">
      <alignment horizontal="left" vertical="center"/>
    </xf>
    <xf numFmtId="0" fontId="16" fillId="14" borderId="45" xfId="0" applyFont="1" applyFill="1" applyBorder="1" applyAlignment="1">
      <alignment horizontal="left" vertical="center"/>
    </xf>
    <xf numFmtId="0" fontId="0" fillId="0" borderId="15" xfId="0" applyBorder="1" applyAlignment="1">
      <alignment horizontal="center" vertical="center"/>
    </xf>
    <xf numFmtId="2" fontId="0" fillId="0" borderId="4" xfId="0" applyNumberFormat="1" applyBorder="1" applyAlignment="1">
      <alignment horizontal="center" vertical="center"/>
    </xf>
    <xf numFmtId="2" fontId="0" fillId="0" borderId="5" xfId="0" applyNumberFormat="1" applyBorder="1" applyAlignment="1">
      <alignment horizontal="center" vertical="center"/>
    </xf>
    <xf numFmtId="2" fontId="0" fillId="0" borderId="0" xfId="0" applyNumberFormat="1" applyBorder="1" applyAlignment="1">
      <alignment horizontal="center" vertical="center"/>
    </xf>
    <xf numFmtId="2" fontId="0" fillId="0" borderId="9" xfId="0" applyNumberFormat="1" applyBorder="1" applyAlignment="1">
      <alignment horizontal="center" vertical="center"/>
    </xf>
    <xf numFmtId="2" fontId="0" fillId="0" borderId="33" xfId="0" applyNumberFormat="1" applyBorder="1" applyAlignment="1">
      <alignment horizontal="center" vertical="center"/>
    </xf>
    <xf numFmtId="2" fontId="0" fillId="0" borderId="3" xfId="0" applyNumberFormat="1" applyBorder="1" applyAlignment="1">
      <alignment horizontal="center" vertical="center"/>
    </xf>
    <xf numFmtId="2" fontId="0" fillId="0" borderId="59" xfId="0" applyNumberFormat="1" applyBorder="1" applyAlignment="1">
      <alignment horizontal="center" vertical="center"/>
    </xf>
    <xf numFmtId="2" fontId="0" fillId="0" borderId="57" xfId="0" applyNumberForma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6" borderId="5" xfId="0" applyFill="1" applyBorder="1" applyAlignment="1">
      <alignment horizontal="center" vertical="center" wrapText="1"/>
    </xf>
    <xf numFmtId="0" fontId="0" fillId="26" borderId="7" xfId="0" applyFill="1" applyBorder="1" applyAlignment="1">
      <alignment horizontal="center" vertical="center" wrapText="1"/>
    </xf>
    <xf numFmtId="0" fontId="3" fillId="0" borderId="2"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21"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6" xfId="0" applyFont="1" applyBorder="1" applyAlignment="1">
      <alignment horizontal="center" vertical="center" textRotation="90"/>
    </xf>
    <xf numFmtId="0" fontId="3" fillId="0" borderId="21" xfId="0" applyFont="1" applyBorder="1" applyAlignment="1">
      <alignment horizontal="center" vertical="center" textRotation="90"/>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3" fillId="0" borderId="23" xfId="0" applyFont="1" applyBorder="1" applyAlignment="1">
      <alignment horizontal="center" vertical="center" textRotation="90"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5" borderId="32" xfId="0" applyFill="1" applyBorder="1" applyAlignment="1">
      <alignment horizontal="center" vertical="center" wrapText="1"/>
    </xf>
    <xf numFmtId="0" fontId="0" fillId="5" borderId="24" xfId="0"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20" xfId="0" applyBorder="1" applyAlignment="1">
      <alignment horizontal="center" vertical="center"/>
    </xf>
    <xf numFmtId="0" fontId="0" fillId="0" borderId="25"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4" fillId="11" borderId="6" xfId="0" applyFont="1" applyFill="1" applyBorder="1" applyAlignment="1">
      <alignment horizontal="center" wrapText="1"/>
    </xf>
    <xf numFmtId="0" fontId="0" fillId="12" borderId="28" xfId="0" applyFill="1" applyBorder="1" applyAlignment="1">
      <alignment horizontal="center" vertical="center"/>
    </xf>
    <xf numFmtId="0" fontId="0" fillId="0" borderId="36"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3" fillId="0" borderId="4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4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11" fillId="4" borderId="0" xfId="0" applyFont="1" applyFill="1" applyAlignment="1">
      <alignment horizont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xf>
    <xf numFmtId="0" fontId="0" fillId="0" borderId="27" xfId="0" applyBorder="1" applyAlignment="1">
      <alignment horizontal="center"/>
    </xf>
    <xf numFmtId="0" fontId="0" fillId="0" borderId="23" xfId="0" applyBorder="1" applyAlignment="1">
      <alignment horizontal="center" wrapText="1"/>
    </xf>
    <xf numFmtId="0" fontId="0" fillId="19" borderId="32" xfId="0" applyFill="1" applyBorder="1" applyAlignment="1">
      <alignment horizontal="center" vertical="center" wrapText="1"/>
    </xf>
    <xf numFmtId="0" fontId="0" fillId="19" borderId="24" xfId="0" applyFill="1" applyBorder="1" applyAlignment="1">
      <alignment horizontal="center" vertical="center" wrapText="1"/>
    </xf>
    <xf numFmtId="0" fontId="0" fillId="0" borderId="23" xfId="0" applyBorder="1" applyAlignment="1">
      <alignment horizontal="center" vertical="center" wrapText="1"/>
    </xf>
    <xf numFmtId="0" fontId="10" fillId="0" borderId="2" xfId="0" applyFont="1" applyBorder="1" applyAlignment="1">
      <alignment horizontal="center" vertical="center" wrapText="1"/>
    </xf>
    <xf numFmtId="0" fontId="10" fillId="0" borderId="21" xfId="0" applyFont="1" applyBorder="1" applyAlignment="1">
      <alignment horizontal="center" vertical="center" wrapText="1"/>
    </xf>
  </cellXfs>
  <cellStyles count="3">
    <cellStyle name="Bad" xfId="2" builtinId="27"/>
    <cellStyle name="Normal" xfId="0" builtinId="0"/>
    <cellStyle name="Normale 3"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16</xdr:col>
      <xdr:colOff>2092106</xdr:colOff>
      <xdr:row>30</xdr:row>
      <xdr:rowOff>221375</xdr:rowOff>
    </xdr:from>
    <xdr:to>
      <xdr:col>29</xdr:col>
      <xdr:colOff>368081</xdr:colOff>
      <xdr:row>46</xdr:row>
      <xdr:rowOff>8211</xdr:rowOff>
    </xdr:to>
    <xdr:sp macro="" textlink="">
      <xdr:nvSpPr>
        <xdr:cNvPr id="2" name="TextBox 1"/>
        <xdr:cNvSpPr txBox="1"/>
      </xdr:nvSpPr>
      <xdr:spPr>
        <a:xfrm>
          <a:off x="11452882" y="6429047"/>
          <a:ext cx="9224251" cy="3257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 on LABOUR after Scopesetting</a:t>
          </a:r>
          <a:r>
            <a:rPr lang="en-GB" sz="1100" baseline="0"/>
            <a:t> Oct 2016:</a:t>
          </a:r>
        </a:p>
        <a:p>
          <a:pPr marL="0" marR="0" lvl="1" indent="0" defTabSz="914400" eaLnBrk="1" fontAlgn="auto" latinLnBrk="0" hangingPunct="1">
            <a:lnSpc>
              <a:spcPct val="100000"/>
            </a:lnSpc>
            <a:spcBef>
              <a:spcPts val="0"/>
            </a:spcBef>
            <a:spcAft>
              <a:spcPts val="0"/>
            </a:spcAft>
            <a:buClrTx/>
            <a:buSzTx/>
            <a:buFontTx/>
            <a:buNone/>
            <a:tabLst/>
            <a:defRPr/>
          </a:pPr>
          <a:r>
            <a:rPr lang="en-GB" sz="1100" baseline="0"/>
            <a:t>1. </a:t>
          </a:r>
          <a:r>
            <a:rPr lang="en-GB" sz="1100">
              <a:solidFill>
                <a:schemeClr val="dk1"/>
              </a:solidFill>
              <a:effectLst/>
              <a:latin typeface="+mn-lt"/>
              <a:ea typeface="+mn-ea"/>
              <a:cs typeface="+mn-cs"/>
            </a:rPr>
            <a:t>The cost for the chopper system was reduced from </a:t>
          </a:r>
          <a:r>
            <a:rPr lang="en-GB" sz="1100" b="1" u="sng">
              <a:solidFill>
                <a:schemeClr val="dk1"/>
              </a:solidFill>
              <a:effectLst/>
              <a:latin typeface="+mn-lt"/>
              <a:ea typeface="+mn-ea"/>
              <a:cs typeface="+mn-cs"/>
            </a:rPr>
            <a:t>1981 k</a:t>
          </a:r>
          <a:r>
            <a:rPr lang="da-DK" sz="1100" b="1" u="sng">
              <a:solidFill>
                <a:schemeClr val="dk1"/>
              </a:solidFill>
              <a:effectLst/>
              <a:latin typeface="+mn-lt"/>
              <a:ea typeface="+mn-ea"/>
              <a:cs typeface="+mn-cs"/>
            </a:rPr>
            <a:t>€ to 1533</a:t>
          </a:r>
          <a:r>
            <a:rPr lang="en-US" sz="1100" b="1" u="sng">
              <a:solidFill>
                <a:schemeClr val="dk1"/>
              </a:solidFill>
              <a:effectLst/>
              <a:latin typeface="+mn-lt"/>
              <a:ea typeface="+mn-ea"/>
              <a:cs typeface="+mn-cs"/>
            </a:rPr>
            <a:t> k</a:t>
          </a:r>
          <a:r>
            <a:rPr lang="da-DK" sz="1100" b="1" u="sng">
              <a:solidFill>
                <a:schemeClr val="dk1"/>
              </a:solidFill>
              <a:effectLst/>
              <a:latin typeface="+mn-lt"/>
              <a:ea typeface="+mn-ea"/>
              <a:cs typeface="+mn-cs"/>
            </a:rPr>
            <a:t>€</a:t>
          </a:r>
          <a:r>
            <a:rPr lang="en-US" sz="1100">
              <a:solidFill>
                <a:schemeClr val="dk1"/>
              </a:solidFill>
              <a:effectLst/>
              <a:latin typeface="+mn-lt"/>
              <a:ea typeface="+mn-ea"/>
              <a:cs typeface="+mn-cs"/>
            </a:rPr>
            <a:t>. The cost saving was made </a:t>
          </a:r>
          <a:r>
            <a:rPr lang="en-US" sz="1100" b="1" u="sng">
              <a:solidFill>
                <a:schemeClr val="dk1"/>
              </a:solidFill>
              <a:effectLst/>
              <a:latin typeface="+mn-lt"/>
              <a:ea typeface="+mn-ea"/>
              <a:cs typeface="+mn-cs"/>
            </a:rPr>
            <a:t>by reducing the labour estimates </a:t>
          </a:r>
          <a:r>
            <a:rPr lang="en-US" sz="1100">
              <a:solidFill>
                <a:schemeClr val="dk1"/>
              </a:solidFill>
              <a:effectLst/>
              <a:latin typeface="+mn-lt"/>
              <a:ea typeface="+mn-ea"/>
              <a:cs typeface="+mn-cs"/>
            </a:rPr>
            <a:t>for design, installation and cold-commissioning, which is achievable by using ESS standard designs. </a:t>
          </a:r>
        </a:p>
        <a:p>
          <a:pPr marL="0" marR="0" lvl="1"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2.The manpower needs for design and installation of the cave infrastructure was </a:t>
          </a:r>
          <a:r>
            <a:rPr lang="en-US" sz="1100" b="1" u="sng">
              <a:solidFill>
                <a:schemeClr val="dk1"/>
              </a:solidFill>
              <a:effectLst/>
              <a:latin typeface="+mn-lt"/>
              <a:ea typeface="+mn-ea"/>
              <a:cs typeface="+mn-cs"/>
            </a:rPr>
            <a:t>reduced by 200 k</a:t>
          </a:r>
          <a:r>
            <a:rPr lang="da-DK" sz="1100" b="1" u="sng">
              <a:solidFill>
                <a:schemeClr val="dk1"/>
              </a:solidFill>
              <a:effectLst/>
              <a:latin typeface="+mn-lt"/>
              <a:ea typeface="+mn-ea"/>
              <a:cs typeface="+mn-cs"/>
            </a:rPr>
            <a:t>€</a:t>
          </a:r>
          <a:r>
            <a:rPr lang="en-US" sz="1100">
              <a:solidFill>
                <a:schemeClr val="dk1"/>
              </a:solidFill>
              <a:effectLst/>
              <a:latin typeface="+mn-lt"/>
              <a:ea typeface="+mn-ea"/>
              <a:cs typeface="+mn-cs"/>
            </a:rPr>
            <a:t> to bring it closer into line with the estimates for other instruments at ESS</a:t>
          </a:r>
          <a:endParaRPr lang="en-GB" sz="1100">
            <a:solidFill>
              <a:schemeClr val="dk1"/>
            </a:solidFill>
            <a:effectLst/>
            <a:latin typeface="+mn-lt"/>
            <a:ea typeface="+mn-ea"/>
            <a:cs typeface="+mn-cs"/>
          </a:endParaRPr>
        </a:p>
        <a:p>
          <a:endParaRPr lang="en-GB" sz="1100"/>
        </a:p>
        <a:p>
          <a:r>
            <a:rPr lang="en-GB" sz="1100"/>
            <a:t>3.</a:t>
          </a:r>
          <a:r>
            <a:rPr lang="en-US" sz="1100" b="1" u="sng">
              <a:solidFill>
                <a:schemeClr val="dk1"/>
              </a:solidFill>
              <a:effectLst/>
              <a:latin typeface="+mn-lt"/>
              <a:ea typeface="+mn-ea"/>
              <a:cs typeface="+mn-cs"/>
            </a:rPr>
            <a:t>The 7 man-years of labour for ESS staff was reduced to 1.2 MY</a:t>
          </a:r>
          <a:r>
            <a:rPr lang="en-US" sz="1100">
              <a:solidFill>
                <a:schemeClr val="dk1"/>
              </a:solidFill>
              <a:effectLst/>
              <a:latin typeface="+mn-lt"/>
              <a:ea typeface="+mn-ea"/>
              <a:cs typeface="+mn-cs"/>
            </a:rPr>
            <a:t>, corresponding to the instrument scientist time of Monika Hartl, and providing a cost </a:t>
          </a:r>
          <a:r>
            <a:rPr lang="en-US" sz="1100" b="1" u="sng">
              <a:solidFill>
                <a:schemeClr val="dk1"/>
              </a:solidFill>
              <a:effectLst/>
              <a:latin typeface="+mn-lt"/>
              <a:ea typeface="+mn-ea"/>
              <a:cs typeface="+mn-cs"/>
            </a:rPr>
            <a:t>reduction of 626 k</a:t>
          </a:r>
          <a:r>
            <a:rPr lang="da-DK" sz="1100" b="1" u="sng">
              <a:solidFill>
                <a:schemeClr val="dk1"/>
              </a:solidFill>
              <a:effectLst/>
              <a:latin typeface="+mn-lt"/>
              <a:ea typeface="+mn-ea"/>
              <a:cs typeface="+mn-cs"/>
            </a:rPr>
            <a:t>€</a:t>
          </a:r>
          <a:r>
            <a:rPr lang="en-US" sz="1100">
              <a:solidFill>
                <a:schemeClr val="dk1"/>
              </a:solidFill>
              <a:effectLst/>
              <a:latin typeface="+mn-lt"/>
              <a:ea typeface="+mn-ea"/>
              <a:cs typeface="+mn-cs"/>
            </a:rPr>
            <a:t>. NSS is establishing a core engineering support team for the instrument projects, providing support for design integration, neutron technologies, systems engineering and co-ordination of on-site assembly and installation, at no cost to the instrument projects.</a:t>
          </a:r>
          <a:endParaRPr lang="en-GB" sz="1100"/>
        </a:p>
      </xdr:txBody>
    </xdr:sp>
    <xdr:clientData/>
  </xdr:twoCellAnchor>
  <xdr:twoCellAnchor editAs="oneCell">
    <xdr:from>
      <xdr:col>16</xdr:col>
      <xdr:colOff>2430519</xdr:colOff>
      <xdr:row>29</xdr:row>
      <xdr:rowOff>31104</xdr:rowOff>
    </xdr:from>
    <xdr:to>
      <xdr:col>19</xdr:col>
      <xdr:colOff>437006</xdr:colOff>
      <xdr:row>58</xdr:row>
      <xdr:rowOff>106318</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8191" y="6041707"/>
          <a:ext cx="2659505" cy="62828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127588</xdr:colOff>
      <xdr:row>38</xdr:row>
      <xdr:rowOff>125043</xdr:rowOff>
    </xdr:from>
    <xdr:to>
      <xdr:col>23</xdr:col>
      <xdr:colOff>481979</xdr:colOff>
      <xdr:row>67</xdr:row>
      <xdr:rowOff>76200</xdr:rowOff>
    </xdr:to>
    <xdr:pic>
      <xdr:nvPicPr>
        <xdr:cNvPr id="4" name="Picture 3"/>
        <xdr:cNvPicPr>
          <a:picLocks noChangeAspect="1"/>
        </xdr:cNvPicPr>
      </xdr:nvPicPr>
      <xdr:blipFill>
        <a:blip xmlns:r="http://schemas.openxmlformats.org/officeDocument/2006/relationships" r:embed="rId1"/>
        <a:stretch>
          <a:fillRect/>
        </a:stretch>
      </xdr:blipFill>
      <xdr:spPr>
        <a:xfrm>
          <a:off x="13224463" y="7602168"/>
          <a:ext cx="7955341" cy="5570907"/>
        </a:xfrm>
        <a:prstGeom prst="rect">
          <a:avLst/>
        </a:prstGeom>
      </xdr:spPr>
    </xdr:pic>
    <xdr:clientData/>
  </xdr:twoCellAnchor>
  <xdr:twoCellAnchor editAs="oneCell">
    <xdr:from>
      <xdr:col>13</xdr:col>
      <xdr:colOff>240931</xdr:colOff>
      <xdr:row>69</xdr:row>
      <xdr:rowOff>117545</xdr:rowOff>
    </xdr:from>
    <xdr:to>
      <xdr:col>21</xdr:col>
      <xdr:colOff>417585</xdr:colOff>
      <xdr:row>95</xdr:row>
      <xdr:rowOff>66675</xdr:rowOff>
    </xdr:to>
    <xdr:pic>
      <xdr:nvPicPr>
        <xdr:cNvPr id="56" name="Picture 55"/>
        <xdr:cNvPicPr>
          <a:picLocks noChangeAspect="1"/>
        </xdr:cNvPicPr>
      </xdr:nvPicPr>
      <xdr:blipFill>
        <a:blip xmlns:r="http://schemas.openxmlformats.org/officeDocument/2006/relationships" r:embed="rId2"/>
        <a:stretch>
          <a:fillRect/>
        </a:stretch>
      </xdr:blipFill>
      <xdr:spPr>
        <a:xfrm>
          <a:off x="12728206" y="13614470"/>
          <a:ext cx="7168004" cy="5025955"/>
        </a:xfrm>
        <a:prstGeom prst="rect">
          <a:avLst/>
        </a:prstGeom>
      </xdr:spPr>
    </xdr:pic>
    <xdr:clientData/>
  </xdr:twoCellAnchor>
  <xdr:twoCellAnchor editAs="oneCell">
    <xdr:from>
      <xdr:col>17</xdr:col>
      <xdr:colOff>676275</xdr:colOff>
      <xdr:row>96</xdr:row>
      <xdr:rowOff>133350</xdr:rowOff>
    </xdr:from>
    <xdr:to>
      <xdr:col>25</xdr:col>
      <xdr:colOff>304800</xdr:colOff>
      <xdr:row>114</xdr:row>
      <xdr:rowOff>9525</xdr:rowOff>
    </xdr:to>
    <xdr:pic>
      <xdr:nvPicPr>
        <xdr:cNvPr id="57" name="Picture 56"/>
        <xdr:cNvPicPr>
          <a:picLocks noChangeAspect="1"/>
        </xdr:cNvPicPr>
      </xdr:nvPicPr>
      <xdr:blipFill>
        <a:blip xmlns:r="http://schemas.openxmlformats.org/officeDocument/2006/relationships" r:embed="rId3"/>
        <a:stretch>
          <a:fillRect/>
        </a:stretch>
      </xdr:blipFill>
      <xdr:spPr>
        <a:xfrm>
          <a:off x="15601950" y="18907125"/>
          <a:ext cx="6096000" cy="3429000"/>
        </a:xfrm>
        <a:prstGeom prst="rect">
          <a:avLst/>
        </a:prstGeom>
      </xdr:spPr>
    </xdr:pic>
    <xdr:clientData/>
  </xdr:twoCellAnchor>
  <xdr:twoCellAnchor>
    <xdr:from>
      <xdr:col>17</xdr:col>
      <xdr:colOff>952500</xdr:colOff>
      <xdr:row>110</xdr:row>
      <xdr:rowOff>180975</xdr:rowOff>
    </xdr:from>
    <xdr:to>
      <xdr:col>23</xdr:col>
      <xdr:colOff>600075</xdr:colOff>
      <xdr:row>125</xdr:row>
      <xdr:rowOff>0</xdr:rowOff>
    </xdr:to>
    <xdr:sp macro="" textlink="">
      <xdr:nvSpPr>
        <xdr:cNvPr id="58" name="TextBox 57"/>
        <xdr:cNvSpPr txBox="1"/>
      </xdr:nvSpPr>
      <xdr:spPr>
        <a:xfrm>
          <a:off x="16402050" y="21726525"/>
          <a:ext cx="4895850" cy="273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15/05/2017 cave structure</a:t>
          </a:r>
        </a:p>
        <a:p>
          <a:endParaRPr lang="en-GB" sz="1100"/>
        </a:p>
        <a:p>
          <a:pPr rtl="0" eaLnBrk="1" fontAlgn="base" latinLnBrk="0" hangingPunct="1"/>
          <a:r>
            <a:rPr lang="en-GB" sz="1100" i="0" baseline="0">
              <a:solidFill>
                <a:schemeClr val="dk1"/>
              </a:solidFill>
              <a:effectLst/>
              <a:latin typeface="+mn-lt"/>
              <a:ea typeface="+mn-ea"/>
              <a:cs typeface="+mn-cs"/>
            </a:rPr>
            <a:t>Total</a:t>
          </a:r>
          <a:r>
            <a:rPr lang="en-GB" sz="1100" i="0">
              <a:solidFill>
                <a:schemeClr val="dk1"/>
              </a:solidFill>
              <a:effectLst/>
              <a:latin typeface="+mn-lt"/>
              <a:ea typeface="+mn-ea"/>
              <a:cs typeface="+mn-cs"/>
            </a:rPr>
            <a:t> volume: ~65 m3  (40 concrete 25 steel)</a:t>
          </a:r>
          <a:endParaRPr lang="en-GB">
            <a:effectLst/>
          </a:endParaRPr>
        </a:p>
        <a:p>
          <a:pPr rtl="0" eaLnBrk="1" fontAlgn="base" latinLnBrk="0" hangingPunct="1"/>
          <a:r>
            <a:rPr lang="en-GB" sz="1100" i="0" baseline="0">
              <a:solidFill>
                <a:schemeClr val="dk1"/>
              </a:solidFill>
              <a:effectLst/>
              <a:latin typeface="+mn-lt"/>
              <a:ea typeface="+mn-ea"/>
              <a:cs typeface="+mn-cs"/>
            </a:rPr>
            <a:t>Inside area: ~ 28 m2</a:t>
          </a:r>
          <a:endParaRPr lang="en-GB">
            <a:effectLst/>
          </a:endParaRPr>
        </a:p>
        <a:p>
          <a:pPr rtl="0" eaLnBrk="1" fontAlgn="base" latinLnBrk="0" hangingPunct="1"/>
          <a:r>
            <a:rPr lang="en-GB" sz="1100">
              <a:solidFill>
                <a:schemeClr val="dk1"/>
              </a:solidFill>
              <a:effectLst/>
              <a:latin typeface="+mn-lt"/>
              <a:ea typeface="+mn-ea"/>
              <a:cs typeface="+mn-cs"/>
            </a:rPr>
            <a:t>Height: 2.45 m (inside)</a:t>
          </a:r>
          <a:endParaRPr lang="en-GB">
            <a:effectLst/>
          </a:endParaRPr>
        </a:p>
        <a:p>
          <a:pPr rtl="0" eaLnBrk="1" fontAlgn="base" latinLnBrk="0" hangingPunct="1"/>
          <a:r>
            <a:rPr lang="en-GB" sz="1100" i="0" baseline="0">
              <a:solidFill>
                <a:schemeClr val="dk1"/>
              </a:solidFill>
              <a:effectLst/>
              <a:latin typeface="+mn-lt"/>
              <a:ea typeface="+mn-ea"/>
              <a:cs typeface="+mn-cs"/>
            </a:rPr>
            <a:t>Floor</a:t>
          </a:r>
          <a:r>
            <a:rPr lang="en-GB" sz="1100" i="0">
              <a:solidFill>
                <a:schemeClr val="dk1"/>
              </a:solidFill>
              <a:effectLst/>
              <a:latin typeface="+mn-lt"/>
              <a:ea typeface="+mn-ea"/>
              <a:cs typeface="+mn-cs"/>
            </a:rPr>
            <a:t> to sample: 1687 mm</a:t>
          </a:r>
          <a:endParaRPr lang="en-GB">
            <a:effectLst/>
          </a:endParaRPr>
        </a:p>
        <a:p>
          <a:pPr rtl="0" eaLnBrk="1" fontAlgn="base" latinLnBrk="0" hangingPunct="1"/>
          <a:r>
            <a:rPr lang="en-GB" sz="1100" baseline="0">
              <a:solidFill>
                <a:schemeClr val="dk1"/>
              </a:solidFill>
              <a:effectLst/>
              <a:latin typeface="+mn-lt"/>
              <a:ea typeface="+mn-ea"/>
              <a:cs typeface="+mn-cs"/>
            </a:rPr>
            <a:t>Raise</a:t>
          </a:r>
          <a:r>
            <a:rPr lang="en-GB" sz="1100">
              <a:solidFill>
                <a:schemeClr val="dk1"/>
              </a:solidFill>
              <a:effectLst/>
              <a:latin typeface="+mn-lt"/>
              <a:ea typeface="+mn-ea"/>
              <a:cs typeface="+mn-cs"/>
            </a:rPr>
            <a:t> floor: 450 mm</a:t>
          </a:r>
          <a:endParaRPr lang="en-GB">
            <a:effectLst/>
          </a:endParaRPr>
        </a:p>
        <a:p>
          <a:pPr rtl="0" eaLnBrk="1" fontAlgn="base" latinLnBrk="0" hangingPunct="1"/>
          <a:r>
            <a:rPr lang="en-GB" sz="1100" i="0" baseline="0">
              <a:solidFill>
                <a:schemeClr val="dk1"/>
              </a:solidFill>
              <a:effectLst/>
              <a:latin typeface="+mn-lt"/>
              <a:ea typeface="+mn-ea"/>
              <a:cs typeface="+mn-cs"/>
            </a:rPr>
            <a:t>Wall thickness: 0.8m(front), 0.75m(back), 0.65m(side)</a:t>
          </a:r>
          <a:endParaRPr lang="en-GB">
            <a:effectLst/>
          </a:endParaRPr>
        </a:p>
        <a:p>
          <a:pPr rtl="0" eaLnBrk="1" fontAlgn="base" latinLnBrk="0" hangingPunct="1"/>
          <a:r>
            <a:rPr lang="en-GB" sz="1100" i="0" baseline="0">
              <a:solidFill>
                <a:schemeClr val="dk1"/>
              </a:solidFill>
              <a:effectLst/>
              <a:latin typeface="+mn-lt"/>
              <a:ea typeface="+mn-ea"/>
              <a:cs typeface="+mn-cs"/>
            </a:rPr>
            <a:t>Est. weight ~  325 tons</a:t>
          </a:r>
          <a:endParaRPr lang="en-GB">
            <a:effectLst/>
          </a:endParaRPr>
        </a:p>
        <a:p>
          <a:pPr rtl="0" eaLnBrk="1" fontAlgn="base" latinLnBrk="0" hangingPunct="1"/>
          <a:endParaRPr lang="en-GB" sz="1100" i="0" baseline="0">
            <a:solidFill>
              <a:schemeClr val="dk1"/>
            </a:solidFill>
            <a:effectLst/>
            <a:latin typeface="+mn-lt"/>
            <a:ea typeface="+mn-ea"/>
            <a:cs typeface="+mn-cs"/>
          </a:endParaRPr>
        </a:p>
        <a:p>
          <a:pPr rtl="0" eaLnBrk="1" fontAlgn="base" latinLnBrk="0" hangingPunct="1"/>
          <a:r>
            <a:rPr lang="en-GB" sz="1100" i="0" baseline="0">
              <a:solidFill>
                <a:schemeClr val="dk1"/>
              </a:solidFill>
              <a:effectLst/>
              <a:latin typeface="+mn-lt"/>
              <a:ea typeface="+mn-ea"/>
              <a:cs typeface="+mn-cs"/>
            </a:rPr>
            <a:t>Roof</a:t>
          </a:r>
          <a:endParaRPr lang="en-GB">
            <a:effectLst/>
          </a:endParaRPr>
        </a:p>
        <a:p>
          <a:pPr rtl="0" eaLnBrk="1" fontAlgn="base" latinLnBrk="0" hangingPunct="1"/>
          <a:r>
            <a:rPr lang="en-GB" sz="1100">
              <a:solidFill>
                <a:schemeClr val="dk1"/>
              </a:solidFill>
              <a:effectLst/>
              <a:latin typeface="+mn-lt"/>
              <a:ea typeface="+mn-ea"/>
              <a:cs typeface="+mn-cs"/>
            </a:rPr>
            <a:t>Thickness: 0.4 m</a:t>
          </a:r>
          <a:endParaRPr lang="en-GB">
            <a:effectLst/>
          </a:endParaRPr>
        </a:p>
        <a:p>
          <a:pPr rtl="0" eaLnBrk="1" fontAlgn="base" latinLnBrk="0" hangingPunct="1"/>
          <a:r>
            <a:rPr lang="en-GB" sz="1100" i="0" baseline="0">
              <a:solidFill>
                <a:schemeClr val="dk1"/>
              </a:solidFill>
              <a:effectLst/>
              <a:latin typeface="+mn-lt"/>
              <a:ea typeface="+mn-ea"/>
              <a:cs typeface="+mn-cs"/>
            </a:rPr>
            <a:t>Volume: ~20 m3 (12 concrete, 8 steel)</a:t>
          </a:r>
          <a:endParaRPr lang="en-GB">
            <a:effectLst/>
          </a:endParaRPr>
        </a:p>
        <a:p>
          <a:pPr rtl="0" eaLnBrk="1" fontAlgn="base" latinLnBrk="0" hangingPunct="1"/>
          <a:r>
            <a:rPr lang="en-GB" sz="1100" i="0" baseline="0">
              <a:solidFill>
                <a:schemeClr val="dk1"/>
              </a:solidFill>
              <a:effectLst/>
              <a:latin typeface="+mn-lt"/>
              <a:ea typeface="+mn-ea"/>
              <a:cs typeface="+mn-cs"/>
            </a:rPr>
            <a:t>Est. weight ~ 100 tons</a:t>
          </a:r>
        </a:p>
        <a:p>
          <a:pPr rtl="0" eaLnBrk="1" fontAlgn="base" latinLnBrk="0" hangingPunct="1"/>
          <a:endParaRPr lang="en-GB">
            <a:effectLst/>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gj23.CLRC/AppData/Local/Microsoft/Windows/INetCache/Content.Outlook/FFW4DRCN/VESPA%20Budget%20eq%20and%20labour%2014%20Sept%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RNZworks/VESPA%202016/27%20OCT%20SCOPESETTING/VESPA%20scopereport/ScopeSettingVESPA%20ldf/VESPA%20STAFF%20oth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S zone budget14 september"/>
      <sheetName val="LABOUR &amp; travel"/>
      <sheetName val="PBS BDGT ESS 2016Vs 2017"/>
      <sheetName val="Choppers 2017"/>
      <sheetName val="Motion control bdgt"/>
      <sheetName val="shielding cost2017"/>
      <sheetName val="VESPA PBS 24 august"/>
      <sheetName val="x TG2 JUN 2017"/>
      <sheetName val="OPTION 2 break 2016"/>
      <sheetName val="PBS budget"/>
      <sheetName val="blokki"/>
    </sheetNames>
    <sheetDataSet>
      <sheetData sheetId="0"/>
      <sheetData sheetId="1">
        <row r="57">
          <cell r="C57">
            <v>1685.0297199999998</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LINE"/>
      <sheetName val="STAFF ESS Vs ISIS"/>
      <sheetName val="STAFF SUMMARY OPT1"/>
      <sheetName val="STAFF SUMMARY OPT2"/>
      <sheetName val="STAFF SUMMARY OPT3"/>
      <sheetName val="FREIA Staff Option 2  (2)"/>
      <sheetName val="ref VESPA Staff "/>
      <sheetName val="Sheet2"/>
    </sheetNames>
    <sheetDataSet>
      <sheetData sheetId="0"/>
      <sheetData sheetId="1"/>
      <sheetData sheetId="2"/>
      <sheetData sheetId="3"/>
      <sheetData sheetId="4"/>
      <sheetData sheetId="5"/>
      <sheetData sheetId="6">
        <row r="41">
          <cell r="HZ41">
            <v>137214</v>
          </cell>
        </row>
        <row r="43">
          <cell r="HZ43">
            <v>106920.00000000001</v>
          </cell>
        </row>
        <row r="45">
          <cell r="HZ45">
            <v>137214</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4" Type="http://schemas.openxmlformats.org/officeDocument/2006/relationships/comments" Target="../comments5.xml"/><Relationship Id="rId1" Type="http://schemas.openxmlformats.org/officeDocument/2006/relationships/printerSettings" Target="../printerSettings/printerSettings4.bin"/><Relationship Id="rId2"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S78"/>
  <sheetViews>
    <sheetView tabSelected="1" zoomScale="90" zoomScaleNormal="90" workbookViewId="0">
      <selection activeCell="I74" sqref="I74"/>
    </sheetView>
  </sheetViews>
  <sheetFormatPr baseColWidth="10" defaultColWidth="8.83203125" defaultRowHeight="15" x14ac:dyDescent="0.2"/>
  <cols>
    <col min="2" max="2" width="15.33203125" customWidth="1"/>
    <col min="3" max="3" width="7.1640625" style="273" customWidth="1"/>
    <col min="4" max="4" width="40.83203125" bestFit="1" customWidth="1"/>
    <col min="5" max="5" width="38.83203125" style="174" bestFit="1" customWidth="1"/>
    <col min="6" max="6" width="27.83203125" style="174" bestFit="1" customWidth="1"/>
    <col min="12" max="12" width="20" bestFit="1" customWidth="1"/>
    <col min="13" max="13" width="11.5" bestFit="1" customWidth="1"/>
    <col min="14" max="14" width="15.5" bestFit="1" customWidth="1"/>
  </cols>
  <sheetData>
    <row r="2" spans="2:8" x14ac:dyDescent="0.2">
      <c r="G2" s="1" t="s">
        <v>345</v>
      </c>
    </row>
    <row r="3" spans="2:8" x14ac:dyDescent="0.2">
      <c r="B3" s="320" t="s">
        <v>424</v>
      </c>
      <c r="C3" s="274">
        <v>1</v>
      </c>
      <c r="D3" s="163" t="s">
        <v>481</v>
      </c>
      <c r="E3" s="175" t="s">
        <v>489</v>
      </c>
      <c r="F3" s="175"/>
      <c r="G3" s="22">
        <v>20</v>
      </c>
    </row>
    <row r="4" spans="2:8" x14ac:dyDescent="0.2">
      <c r="B4" s="320"/>
      <c r="C4" s="274">
        <f>C3+1</f>
        <v>2</v>
      </c>
      <c r="D4" s="163" t="s">
        <v>425</v>
      </c>
      <c r="E4" s="175"/>
      <c r="F4" s="175"/>
      <c r="G4" s="22"/>
    </row>
    <row r="5" spans="2:8" x14ac:dyDescent="0.2">
      <c r="B5" s="320"/>
      <c r="C5" s="274">
        <f t="shared" ref="C5:C9" si="0">C4+1</f>
        <v>3</v>
      </c>
      <c r="D5" s="163" t="s">
        <v>426</v>
      </c>
      <c r="E5" s="175"/>
      <c r="F5" s="175"/>
      <c r="G5" s="22"/>
    </row>
    <row r="6" spans="2:8" x14ac:dyDescent="0.2">
      <c r="B6" s="320"/>
      <c r="C6" s="274">
        <f t="shared" si="0"/>
        <v>4</v>
      </c>
      <c r="D6" s="163" t="s">
        <v>427</v>
      </c>
      <c r="E6" s="175"/>
      <c r="F6" s="175"/>
      <c r="G6" s="22"/>
    </row>
    <row r="7" spans="2:8" x14ac:dyDescent="0.2">
      <c r="B7" s="320"/>
      <c r="C7" s="274">
        <f t="shared" si="0"/>
        <v>5</v>
      </c>
      <c r="D7" s="163" t="s">
        <v>428</v>
      </c>
      <c r="E7" s="175"/>
      <c r="F7" s="175"/>
      <c r="G7" s="22"/>
    </row>
    <row r="8" spans="2:8" x14ac:dyDescent="0.2">
      <c r="B8" s="320"/>
      <c r="C8" s="274">
        <f t="shared" si="0"/>
        <v>6</v>
      </c>
      <c r="D8" s="163" t="s">
        <v>429</v>
      </c>
      <c r="E8" s="175"/>
      <c r="F8" s="175"/>
      <c r="G8" s="22"/>
    </row>
    <row r="9" spans="2:8" ht="16" thickBot="1" x14ac:dyDescent="0.25">
      <c r="B9" s="320"/>
      <c r="C9" s="274">
        <f t="shared" si="0"/>
        <v>7</v>
      </c>
      <c r="D9" s="163" t="s">
        <v>430</v>
      </c>
      <c r="E9" s="175"/>
      <c r="F9" s="175"/>
      <c r="G9" s="22">
        <v>10</v>
      </c>
    </row>
    <row r="10" spans="2:8" ht="16" thickBot="1" x14ac:dyDescent="0.25">
      <c r="G10" s="136">
        <f>SUM(G3:G9)</f>
        <v>30</v>
      </c>
      <c r="H10" s="169" t="s">
        <v>468</v>
      </c>
    </row>
    <row r="11" spans="2:8" x14ac:dyDescent="0.2">
      <c r="B11" s="321" t="s">
        <v>431</v>
      </c>
      <c r="C11" s="274">
        <f>C9+1</f>
        <v>8</v>
      </c>
      <c r="D11" s="167" t="s">
        <v>432</v>
      </c>
      <c r="E11" s="176" t="s">
        <v>455</v>
      </c>
      <c r="F11" s="176"/>
      <c r="G11" s="49">
        <v>56</v>
      </c>
    </row>
    <row r="12" spans="2:8" x14ac:dyDescent="0.2">
      <c r="B12" s="322"/>
      <c r="C12" s="274">
        <f>C11+1</f>
        <v>9</v>
      </c>
      <c r="D12" s="165"/>
      <c r="E12" s="176" t="s">
        <v>456</v>
      </c>
      <c r="F12" s="176"/>
      <c r="G12" s="49">
        <v>83</v>
      </c>
    </row>
    <row r="13" spans="2:8" x14ac:dyDescent="0.2">
      <c r="B13" s="322"/>
      <c r="C13" s="274"/>
      <c r="D13" s="182"/>
      <c r="E13" s="175"/>
      <c r="F13" s="175"/>
      <c r="G13" s="49"/>
    </row>
    <row r="14" spans="2:8" x14ac:dyDescent="0.2">
      <c r="B14" s="322"/>
      <c r="C14" s="274">
        <v>11</v>
      </c>
      <c r="D14" s="167" t="s">
        <v>433</v>
      </c>
      <c r="E14" s="175"/>
      <c r="F14" s="175"/>
      <c r="G14" s="49">
        <v>90</v>
      </c>
    </row>
    <row r="15" spans="2:8" ht="16" thickBot="1" x14ac:dyDescent="0.25">
      <c r="B15" s="323"/>
      <c r="C15" s="274">
        <f t="shared" ref="C15" si="1">C14+1</f>
        <v>12</v>
      </c>
      <c r="D15" s="167" t="s">
        <v>146</v>
      </c>
      <c r="E15" s="175"/>
      <c r="F15" s="175"/>
      <c r="G15" s="168">
        <v>250</v>
      </c>
    </row>
    <row r="16" spans="2:8" ht="16" thickBot="1" x14ac:dyDescent="0.25">
      <c r="G16" s="136">
        <f>SUM(G11:G15)</f>
        <v>479</v>
      </c>
      <c r="H16" s="169" t="s">
        <v>468</v>
      </c>
    </row>
    <row r="17" spans="2:13" x14ac:dyDescent="0.2">
      <c r="B17" s="324" t="s">
        <v>434</v>
      </c>
      <c r="C17" s="275">
        <v>13</v>
      </c>
      <c r="D17" s="164" t="s">
        <v>435</v>
      </c>
      <c r="E17" s="176" t="s">
        <v>0</v>
      </c>
      <c r="F17" s="177" t="s">
        <v>457</v>
      </c>
      <c r="G17" s="143">
        <f>44*17</f>
        <v>748</v>
      </c>
    </row>
    <row r="18" spans="2:13" x14ac:dyDescent="0.2">
      <c r="B18" s="324"/>
      <c r="C18" s="274"/>
      <c r="D18" s="16"/>
      <c r="E18" s="178"/>
      <c r="F18" s="177" t="s">
        <v>458</v>
      </c>
      <c r="G18" s="49">
        <f>81*0.8</f>
        <v>64.8</v>
      </c>
    </row>
    <row r="19" spans="2:13" ht="16" thickBot="1" x14ac:dyDescent="0.25">
      <c r="B19" s="324"/>
      <c r="C19" s="274"/>
      <c r="D19" s="16"/>
      <c r="E19" s="178"/>
      <c r="F19" s="177"/>
      <c r="G19" s="49"/>
    </row>
    <row r="20" spans="2:13" ht="16" thickBot="1" x14ac:dyDescent="0.25">
      <c r="B20" s="324"/>
      <c r="C20" s="276"/>
      <c r="D20" s="166"/>
      <c r="E20" s="179"/>
      <c r="F20" s="179"/>
      <c r="G20" s="49"/>
      <c r="L20" s="310" t="s">
        <v>590</v>
      </c>
      <c r="M20" s="311" t="s">
        <v>417</v>
      </c>
    </row>
    <row r="21" spans="2:13" x14ac:dyDescent="0.2">
      <c r="B21" s="324"/>
      <c r="C21" s="277">
        <v>14</v>
      </c>
      <c r="D21" s="325" t="s">
        <v>436</v>
      </c>
      <c r="E21" s="176" t="s">
        <v>459</v>
      </c>
      <c r="F21" s="180" t="s">
        <v>570</v>
      </c>
      <c r="G21" s="49">
        <f>60*17+0.8*90</f>
        <v>1092</v>
      </c>
      <c r="I21" s="326">
        <f>SUM(G21:G23)</f>
        <v>1352</v>
      </c>
      <c r="L21" s="312" t="s">
        <v>591</v>
      </c>
      <c r="M21" s="313">
        <f>G10</f>
        <v>30</v>
      </c>
    </row>
    <row r="22" spans="2:13" x14ac:dyDescent="0.2">
      <c r="B22" s="324"/>
      <c r="C22" s="277">
        <f>C21+1</f>
        <v>15</v>
      </c>
      <c r="D22" s="325"/>
      <c r="E22" s="176" t="s">
        <v>460</v>
      </c>
      <c r="F22" s="180"/>
      <c r="G22" s="49">
        <v>180</v>
      </c>
      <c r="I22" s="326"/>
      <c r="L22" s="314" t="s">
        <v>592</v>
      </c>
      <c r="M22" s="315">
        <f>G16</f>
        <v>479</v>
      </c>
    </row>
    <row r="23" spans="2:13" x14ac:dyDescent="0.2">
      <c r="B23" s="324"/>
      <c r="C23" s="277">
        <f t="shared" ref="C23:C49" si="2">C22+1</f>
        <v>16</v>
      </c>
      <c r="D23" s="325"/>
      <c r="E23" s="176" t="s">
        <v>461</v>
      </c>
      <c r="F23" s="180"/>
      <c r="G23" s="49">
        <v>80</v>
      </c>
      <c r="I23" s="326"/>
      <c r="L23" s="314" t="s">
        <v>593</v>
      </c>
      <c r="M23" s="315">
        <f>G32</f>
        <v>2512.8000000000002</v>
      </c>
    </row>
    <row r="24" spans="2:13" x14ac:dyDescent="0.2">
      <c r="B24" s="324"/>
      <c r="C24" s="277">
        <f t="shared" si="2"/>
        <v>17</v>
      </c>
      <c r="D24" s="325"/>
      <c r="E24" s="327" t="s">
        <v>462</v>
      </c>
      <c r="F24" s="181" t="s">
        <v>496</v>
      </c>
      <c r="G24" s="49">
        <v>140</v>
      </c>
      <c r="H24" t="s">
        <v>345</v>
      </c>
      <c r="I24" s="328">
        <f>SUM(G24:G28)</f>
        <v>221</v>
      </c>
      <c r="L24" s="314" t="s">
        <v>181</v>
      </c>
      <c r="M24" s="315">
        <f>G40</f>
        <v>1302</v>
      </c>
    </row>
    <row r="25" spans="2:13" x14ac:dyDescent="0.2">
      <c r="B25" s="324"/>
      <c r="C25" s="277">
        <f t="shared" si="2"/>
        <v>18</v>
      </c>
      <c r="D25" s="325"/>
      <c r="E25" s="327"/>
      <c r="F25" s="181" t="s">
        <v>497</v>
      </c>
      <c r="G25" s="49">
        <v>30</v>
      </c>
      <c r="H25" t="s">
        <v>345</v>
      </c>
      <c r="I25" s="328"/>
      <c r="L25" s="314" t="s">
        <v>594</v>
      </c>
      <c r="M25" s="315">
        <f>G50</f>
        <v>1521.3999999999999</v>
      </c>
    </row>
    <row r="26" spans="2:13" x14ac:dyDescent="0.2">
      <c r="B26" s="324"/>
      <c r="C26" s="277">
        <f t="shared" si="2"/>
        <v>19</v>
      </c>
      <c r="D26" s="325"/>
      <c r="E26" s="327"/>
      <c r="F26" s="177" t="s">
        <v>40</v>
      </c>
      <c r="G26" s="49">
        <v>20</v>
      </c>
      <c r="H26" t="s">
        <v>345</v>
      </c>
      <c r="I26" s="328"/>
      <c r="L26" s="314" t="s">
        <v>1</v>
      </c>
      <c r="M26" s="315">
        <f>G53</f>
        <v>1233.5</v>
      </c>
    </row>
    <row r="27" spans="2:13" ht="16" thickBot="1" x14ac:dyDescent="0.25">
      <c r="B27" s="324"/>
      <c r="C27" s="277">
        <f t="shared" si="2"/>
        <v>20</v>
      </c>
      <c r="D27" s="325"/>
      <c r="E27" s="327"/>
      <c r="F27" s="177" t="s">
        <v>463</v>
      </c>
      <c r="G27" s="49">
        <v>30</v>
      </c>
      <c r="H27" t="s">
        <v>345</v>
      </c>
      <c r="I27" s="328"/>
      <c r="L27" s="316" t="s">
        <v>444</v>
      </c>
      <c r="M27" s="317">
        <f>G65</f>
        <v>757</v>
      </c>
    </row>
    <row r="28" spans="2:13" ht="16" thickBot="1" x14ac:dyDescent="0.25">
      <c r="B28" s="324"/>
      <c r="C28" s="277">
        <f t="shared" si="2"/>
        <v>21</v>
      </c>
      <c r="D28" s="325"/>
      <c r="E28" s="327"/>
      <c r="F28" s="177" t="s">
        <v>490</v>
      </c>
      <c r="G28" s="49">
        <v>1</v>
      </c>
      <c r="H28" t="s">
        <v>345</v>
      </c>
      <c r="I28" s="328"/>
      <c r="L28" s="318" t="s">
        <v>595</v>
      </c>
      <c r="M28" s="319">
        <f>SUM(M21:M27)</f>
        <v>7835.7</v>
      </c>
    </row>
    <row r="29" spans="2:13" x14ac:dyDescent="0.2">
      <c r="B29" s="324"/>
      <c r="C29" s="277">
        <f t="shared" si="2"/>
        <v>22</v>
      </c>
      <c r="D29" s="325"/>
      <c r="E29" s="329" t="s">
        <v>464</v>
      </c>
      <c r="F29" s="177" t="s">
        <v>465</v>
      </c>
      <c r="G29" s="49">
        <v>100</v>
      </c>
      <c r="I29" s="330">
        <f>SUM(G29:G31)</f>
        <v>127</v>
      </c>
    </row>
    <row r="30" spans="2:13" x14ac:dyDescent="0.2">
      <c r="B30" s="324"/>
      <c r="C30" s="277">
        <f t="shared" si="2"/>
        <v>23</v>
      </c>
      <c r="D30" s="325"/>
      <c r="E30" s="329"/>
      <c r="F30" s="177" t="s">
        <v>467</v>
      </c>
      <c r="G30" s="49">
        <v>15</v>
      </c>
      <c r="I30" s="330"/>
    </row>
    <row r="31" spans="2:13" ht="16" thickBot="1" x14ac:dyDescent="0.25">
      <c r="B31" s="324"/>
      <c r="C31" s="277">
        <f t="shared" si="2"/>
        <v>24</v>
      </c>
      <c r="D31" s="325"/>
      <c r="E31" s="329"/>
      <c r="F31" s="177" t="s">
        <v>466</v>
      </c>
      <c r="G31" s="49">
        <v>12</v>
      </c>
      <c r="I31" s="330"/>
    </row>
    <row r="32" spans="2:13" ht="16" thickBot="1" x14ac:dyDescent="0.25">
      <c r="G32" s="173">
        <f>SUM(G17:G31)</f>
        <v>2512.8000000000002</v>
      </c>
      <c r="H32" s="169" t="s">
        <v>468</v>
      </c>
    </row>
    <row r="33" spans="2:8" x14ac:dyDescent="0.2">
      <c r="B33" s="332" t="s">
        <v>437</v>
      </c>
      <c r="C33" s="277">
        <v>25</v>
      </c>
      <c r="D33" s="163" t="s">
        <v>438</v>
      </c>
      <c r="E33" s="270" t="s">
        <v>47</v>
      </c>
      <c r="F33" s="175"/>
      <c r="G33" s="271">
        <f>50*5</f>
        <v>250</v>
      </c>
    </row>
    <row r="34" spans="2:8" x14ac:dyDescent="0.2">
      <c r="B34" s="333"/>
      <c r="C34" s="277">
        <f t="shared" si="2"/>
        <v>26</v>
      </c>
      <c r="D34" s="163"/>
      <c r="E34" s="176" t="s">
        <v>571</v>
      </c>
      <c r="F34" s="175"/>
      <c r="G34" s="49">
        <f>4*8</f>
        <v>32</v>
      </c>
    </row>
    <row r="35" spans="2:8" x14ac:dyDescent="0.2">
      <c r="B35" s="333"/>
      <c r="C35" s="277">
        <f t="shared" si="2"/>
        <v>27</v>
      </c>
      <c r="D35" s="163"/>
      <c r="E35" s="176" t="s">
        <v>48</v>
      </c>
      <c r="F35" s="175"/>
      <c r="G35" s="49">
        <f>50*5</f>
        <v>250</v>
      </c>
    </row>
    <row r="36" spans="2:8" x14ac:dyDescent="0.2">
      <c r="B36" s="333"/>
      <c r="C36" s="277">
        <f t="shared" si="2"/>
        <v>28</v>
      </c>
      <c r="D36" s="163"/>
      <c r="E36" s="176" t="s">
        <v>572</v>
      </c>
      <c r="F36" s="175"/>
      <c r="G36" s="49">
        <f>3*160</f>
        <v>480</v>
      </c>
    </row>
    <row r="37" spans="2:8" x14ac:dyDescent="0.2">
      <c r="B37" s="333"/>
      <c r="C37" s="277">
        <f t="shared" si="2"/>
        <v>29</v>
      </c>
      <c r="D37" s="163" t="s">
        <v>439</v>
      </c>
      <c r="E37" s="176" t="s">
        <v>597</v>
      </c>
      <c r="F37" s="175"/>
      <c r="G37" s="49">
        <f>3*10+20</f>
        <v>50</v>
      </c>
    </row>
    <row r="38" spans="2:8" x14ac:dyDescent="0.2">
      <c r="B38" s="333"/>
      <c r="C38" s="277">
        <f t="shared" si="2"/>
        <v>30</v>
      </c>
      <c r="D38" s="163"/>
      <c r="E38" s="176" t="s">
        <v>598</v>
      </c>
      <c r="F38" s="175"/>
      <c r="G38" s="49">
        <v>40</v>
      </c>
    </row>
    <row r="39" spans="2:8" ht="16" thickBot="1" x14ac:dyDescent="0.25">
      <c r="B39" s="334"/>
      <c r="C39" s="277">
        <f t="shared" si="2"/>
        <v>31</v>
      </c>
      <c r="D39" s="163" t="s">
        <v>469</v>
      </c>
      <c r="E39" s="176" t="s">
        <v>470</v>
      </c>
      <c r="F39" s="175"/>
      <c r="G39" s="49">
        <v>200</v>
      </c>
    </row>
    <row r="40" spans="2:8" ht="16" thickBot="1" x14ac:dyDescent="0.25">
      <c r="G40" s="173">
        <f>SUM(G33:G39)</f>
        <v>1302</v>
      </c>
      <c r="H40" s="169" t="s">
        <v>468</v>
      </c>
    </row>
    <row r="41" spans="2:8" x14ac:dyDescent="0.2">
      <c r="B41" s="332" t="s">
        <v>440</v>
      </c>
      <c r="C41" s="277">
        <v>32</v>
      </c>
      <c r="D41" s="164" t="s">
        <v>441</v>
      </c>
      <c r="E41" s="175" t="s">
        <v>471</v>
      </c>
      <c r="F41" s="175" t="s">
        <v>472</v>
      </c>
      <c r="G41" s="49">
        <v>1160</v>
      </c>
    </row>
    <row r="42" spans="2:8" x14ac:dyDescent="0.2">
      <c r="B42" s="333"/>
      <c r="C42" s="277">
        <f t="shared" si="2"/>
        <v>33</v>
      </c>
      <c r="D42" s="164" t="s">
        <v>442</v>
      </c>
      <c r="E42" s="175" t="s">
        <v>483</v>
      </c>
      <c r="F42" s="175" t="s">
        <v>498</v>
      </c>
      <c r="G42" s="49">
        <f>3.65*52</f>
        <v>189.79999999999998</v>
      </c>
    </row>
    <row r="43" spans="2:8" x14ac:dyDescent="0.2">
      <c r="B43" s="333"/>
      <c r="C43" s="277">
        <f t="shared" si="2"/>
        <v>34</v>
      </c>
      <c r="D43" s="163" t="s">
        <v>473</v>
      </c>
      <c r="E43" s="175" t="s">
        <v>474</v>
      </c>
      <c r="F43" s="175"/>
      <c r="G43" s="49">
        <f>3*25</f>
        <v>75</v>
      </c>
    </row>
    <row r="44" spans="2:8" x14ac:dyDescent="0.2">
      <c r="B44" s="333"/>
      <c r="C44" s="277">
        <f t="shared" si="2"/>
        <v>35</v>
      </c>
      <c r="D44" s="164" t="s">
        <v>482</v>
      </c>
      <c r="E44" s="175"/>
      <c r="F44" s="175"/>
      <c r="G44" s="49"/>
    </row>
    <row r="45" spans="2:8" x14ac:dyDescent="0.2">
      <c r="B45" s="333"/>
      <c r="C45" s="277">
        <f t="shared" si="2"/>
        <v>36</v>
      </c>
      <c r="D45" s="164" t="s">
        <v>443</v>
      </c>
      <c r="E45" s="175" t="s">
        <v>596</v>
      </c>
      <c r="F45" s="175"/>
      <c r="G45" s="49">
        <v>60</v>
      </c>
    </row>
    <row r="46" spans="2:8" x14ac:dyDescent="0.2">
      <c r="B46" s="333"/>
      <c r="C46" s="277">
        <f t="shared" si="2"/>
        <v>37</v>
      </c>
      <c r="D46" s="335" t="s">
        <v>574</v>
      </c>
      <c r="E46" s="203" t="s">
        <v>599</v>
      </c>
      <c r="F46" s="175"/>
      <c r="G46" s="49">
        <v>12</v>
      </c>
    </row>
    <row r="47" spans="2:8" x14ac:dyDescent="0.2">
      <c r="B47" s="333"/>
      <c r="C47" s="277">
        <f t="shared" si="2"/>
        <v>38</v>
      </c>
      <c r="D47" s="336"/>
      <c r="E47" s="203" t="s">
        <v>600</v>
      </c>
      <c r="F47" s="175"/>
      <c r="G47" s="49">
        <v>4.8</v>
      </c>
    </row>
    <row r="48" spans="2:8" x14ac:dyDescent="0.2">
      <c r="B48" s="333"/>
      <c r="C48" s="277">
        <f t="shared" si="2"/>
        <v>39</v>
      </c>
      <c r="D48" s="335" t="s">
        <v>575</v>
      </c>
      <c r="E48" s="174" t="s">
        <v>601</v>
      </c>
      <c r="F48" s="175"/>
      <c r="G48" s="49">
        <v>13.2</v>
      </c>
    </row>
    <row r="49" spans="2:19" ht="16" thickBot="1" x14ac:dyDescent="0.25">
      <c r="B49" s="334"/>
      <c r="C49" s="277">
        <f t="shared" si="2"/>
        <v>40</v>
      </c>
      <c r="D49" s="336"/>
      <c r="E49" s="175" t="s">
        <v>602</v>
      </c>
      <c r="F49" s="175"/>
      <c r="G49" s="49">
        <v>6.6</v>
      </c>
    </row>
    <row r="50" spans="2:19" ht="16" thickBot="1" x14ac:dyDescent="0.25">
      <c r="G50" s="136">
        <f>SUM(G41:G49)</f>
        <v>1521.3999999999999</v>
      </c>
      <c r="H50" s="169" t="s">
        <v>468</v>
      </c>
      <c r="L50" s="337" t="s">
        <v>374</v>
      </c>
      <c r="M50" s="52" t="s">
        <v>364</v>
      </c>
      <c r="N50" s="106" t="s">
        <v>363</v>
      </c>
      <c r="O50" s="106" t="s">
        <v>365</v>
      </c>
      <c r="P50" s="106" t="s">
        <v>368</v>
      </c>
      <c r="Q50" s="106" t="s">
        <v>371</v>
      </c>
      <c r="R50" s="106"/>
      <c r="S50" s="307">
        <f>198*3</f>
        <v>594</v>
      </c>
    </row>
    <row r="51" spans="2:19" x14ac:dyDescent="0.2">
      <c r="B51" s="320" t="s">
        <v>1</v>
      </c>
      <c r="C51" s="274">
        <v>41</v>
      </c>
      <c r="D51" s="163" t="s">
        <v>1</v>
      </c>
      <c r="E51" s="175" t="s">
        <v>475</v>
      </c>
      <c r="F51" s="175" t="s">
        <v>477</v>
      </c>
      <c r="G51" s="143">
        <v>1207</v>
      </c>
      <c r="L51" s="331"/>
      <c r="M51" s="18" t="s">
        <v>366</v>
      </c>
      <c r="N51" s="49" t="s">
        <v>363</v>
      </c>
      <c r="O51" s="49" t="s">
        <v>367</v>
      </c>
      <c r="P51" s="49" t="s">
        <v>369</v>
      </c>
      <c r="Q51" s="49" t="s">
        <v>372</v>
      </c>
      <c r="R51" s="49"/>
      <c r="S51" s="308">
        <v>139</v>
      </c>
    </row>
    <row r="52" spans="2:19" ht="16" thickBot="1" x14ac:dyDescent="0.25">
      <c r="B52" s="320"/>
      <c r="C52" s="274">
        <v>42</v>
      </c>
      <c r="D52" s="163" t="s">
        <v>495</v>
      </c>
      <c r="E52" s="175"/>
      <c r="F52" s="175"/>
      <c r="G52" s="49">
        <v>26.5</v>
      </c>
      <c r="L52" s="331"/>
      <c r="M52" s="18" t="s">
        <v>370</v>
      </c>
      <c r="N52" s="49"/>
      <c r="O52" s="49" t="s">
        <v>365</v>
      </c>
      <c r="P52" s="49" t="s">
        <v>369</v>
      </c>
      <c r="Q52" s="49" t="s">
        <v>373</v>
      </c>
      <c r="R52" s="49"/>
      <c r="S52" s="308">
        <v>132</v>
      </c>
    </row>
    <row r="53" spans="2:19" ht="16" thickBot="1" x14ac:dyDescent="0.25">
      <c r="G53" s="136">
        <f>SUM(G51:G52)</f>
        <v>1233.5</v>
      </c>
      <c r="H53" s="169" t="s">
        <v>468</v>
      </c>
      <c r="L53" s="331" t="s">
        <v>333</v>
      </c>
      <c r="M53" s="18" t="s">
        <v>359</v>
      </c>
      <c r="N53" s="49" t="s">
        <v>360</v>
      </c>
      <c r="O53" s="49" t="s">
        <v>361</v>
      </c>
      <c r="P53" s="49" t="s">
        <v>362</v>
      </c>
      <c r="Q53" s="49"/>
      <c r="R53" s="49"/>
      <c r="S53" s="111">
        <v>140</v>
      </c>
    </row>
    <row r="54" spans="2:19" x14ac:dyDescent="0.2">
      <c r="B54" s="321" t="s">
        <v>444</v>
      </c>
      <c r="C54" s="277">
        <v>43</v>
      </c>
      <c r="D54" s="164" t="s">
        <v>445</v>
      </c>
      <c r="E54" s="175" t="s">
        <v>488</v>
      </c>
      <c r="F54" s="175"/>
      <c r="G54" s="143">
        <v>60</v>
      </c>
      <c r="L54" s="331"/>
      <c r="M54" s="18" t="s">
        <v>358</v>
      </c>
      <c r="N54" s="49"/>
      <c r="O54" s="49"/>
      <c r="P54" s="49"/>
      <c r="Q54" s="49"/>
      <c r="R54" s="49"/>
      <c r="S54" s="308">
        <v>38.5</v>
      </c>
    </row>
    <row r="55" spans="2:19" x14ac:dyDescent="0.2">
      <c r="B55" s="322"/>
      <c r="C55" s="277">
        <f t="shared" ref="C55:C64" si="3">C54+1</f>
        <v>44</v>
      </c>
      <c r="D55" s="164" t="s">
        <v>446</v>
      </c>
      <c r="E55" s="175" t="s">
        <v>478</v>
      </c>
      <c r="F55" s="175"/>
      <c r="G55" s="49">
        <f>205+3*8</f>
        <v>229</v>
      </c>
      <c r="L55" s="331"/>
      <c r="M55" s="18" t="s">
        <v>357</v>
      </c>
      <c r="N55" s="49"/>
      <c r="O55" s="49"/>
      <c r="P55" s="49"/>
      <c r="Q55" s="49"/>
      <c r="R55" s="49"/>
      <c r="S55" s="308">
        <v>50</v>
      </c>
    </row>
    <row r="56" spans="2:19" x14ac:dyDescent="0.2">
      <c r="B56" s="322"/>
      <c r="C56" s="277">
        <f t="shared" si="3"/>
        <v>45</v>
      </c>
      <c r="D56" s="164" t="s">
        <v>447</v>
      </c>
      <c r="E56" s="175"/>
      <c r="F56" s="175"/>
      <c r="G56" s="49">
        <v>150</v>
      </c>
      <c r="L56" s="331" t="s">
        <v>375</v>
      </c>
      <c r="M56" s="18" t="s">
        <v>376</v>
      </c>
      <c r="N56" s="49" t="s">
        <v>379</v>
      </c>
      <c r="O56" s="49"/>
      <c r="P56" s="49"/>
      <c r="Q56" s="49"/>
      <c r="R56" s="49"/>
      <c r="S56" s="308">
        <v>30.6</v>
      </c>
    </row>
    <row r="57" spans="2:19" x14ac:dyDescent="0.2">
      <c r="B57" s="322"/>
      <c r="C57" s="277">
        <f t="shared" si="3"/>
        <v>46</v>
      </c>
      <c r="D57" s="164" t="s">
        <v>448</v>
      </c>
      <c r="E57" s="175"/>
      <c r="F57" s="175"/>
      <c r="G57" s="49">
        <v>50</v>
      </c>
      <c r="L57" s="331"/>
      <c r="M57" s="18" t="s">
        <v>377</v>
      </c>
      <c r="N57" s="49" t="s">
        <v>378</v>
      </c>
      <c r="O57" s="49"/>
      <c r="P57" s="49"/>
      <c r="Q57" s="49"/>
      <c r="R57" s="49"/>
      <c r="S57" s="308">
        <v>11.8</v>
      </c>
    </row>
    <row r="58" spans="2:19" x14ac:dyDescent="0.2">
      <c r="B58" s="322"/>
      <c r="C58" s="277">
        <f t="shared" si="3"/>
        <v>47</v>
      </c>
      <c r="D58" s="272" t="s">
        <v>3</v>
      </c>
      <c r="E58" s="175"/>
      <c r="F58" s="175"/>
      <c r="G58" s="49">
        <v>120</v>
      </c>
      <c r="L58" s="331"/>
      <c r="M58" s="18" t="s">
        <v>380</v>
      </c>
      <c r="N58" s="49" t="s">
        <v>381</v>
      </c>
      <c r="O58" s="49"/>
      <c r="P58" s="49"/>
      <c r="Q58" s="49"/>
      <c r="R58" s="49"/>
      <c r="S58" s="308">
        <f>18*0.9*9</f>
        <v>145.79999999999998</v>
      </c>
    </row>
    <row r="59" spans="2:19" x14ac:dyDescent="0.2">
      <c r="B59" s="322"/>
      <c r="C59" s="277">
        <f t="shared" si="3"/>
        <v>48</v>
      </c>
      <c r="D59" s="164" t="s">
        <v>449</v>
      </c>
      <c r="E59" s="175" t="s">
        <v>573</v>
      </c>
      <c r="F59" s="175"/>
      <c r="G59" s="49">
        <v>6</v>
      </c>
      <c r="L59" s="331"/>
      <c r="M59" s="18" t="s">
        <v>203</v>
      </c>
      <c r="N59" s="49" t="s">
        <v>382</v>
      </c>
      <c r="O59" s="49"/>
      <c r="P59" s="49"/>
      <c r="Q59" s="49"/>
      <c r="R59" s="49"/>
      <c r="S59" s="308">
        <f>6.5*(1+0.2*8)</f>
        <v>16.900000000000002</v>
      </c>
    </row>
    <row r="60" spans="2:19" ht="16" thickBot="1" x14ac:dyDescent="0.25">
      <c r="B60" s="322"/>
      <c r="C60" s="277">
        <f t="shared" si="3"/>
        <v>49</v>
      </c>
      <c r="D60" s="164" t="s">
        <v>480</v>
      </c>
      <c r="E60" s="175"/>
      <c r="F60" s="175"/>
      <c r="G60" s="49">
        <v>40</v>
      </c>
      <c r="L60" s="309" t="s">
        <v>383</v>
      </c>
      <c r="M60" s="23" t="s">
        <v>2</v>
      </c>
      <c r="N60" s="109" t="s">
        <v>384</v>
      </c>
      <c r="O60" s="109"/>
      <c r="P60" s="109"/>
      <c r="Q60" s="109"/>
      <c r="R60" s="109"/>
      <c r="S60" s="309">
        <f>5*(1+0.15*2)</f>
        <v>6.5</v>
      </c>
    </row>
    <row r="61" spans="2:19" x14ac:dyDescent="0.2">
      <c r="B61" s="322"/>
      <c r="C61" s="277">
        <f t="shared" si="3"/>
        <v>50</v>
      </c>
      <c r="D61" s="164" t="s">
        <v>450</v>
      </c>
      <c r="E61" s="175"/>
      <c r="F61" s="175"/>
      <c r="G61" s="49">
        <v>30</v>
      </c>
    </row>
    <row r="62" spans="2:19" x14ac:dyDescent="0.2">
      <c r="B62" s="322"/>
      <c r="C62" s="277">
        <f t="shared" si="3"/>
        <v>51</v>
      </c>
      <c r="D62" s="164" t="s">
        <v>451</v>
      </c>
      <c r="E62" s="175" t="s">
        <v>479</v>
      </c>
      <c r="F62" s="175"/>
      <c r="G62" s="49">
        <v>10</v>
      </c>
    </row>
    <row r="63" spans="2:19" x14ac:dyDescent="0.2">
      <c r="B63" s="322"/>
      <c r="C63" s="277">
        <f t="shared" si="3"/>
        <v>52</v>
      </c>
      <c r="D63" s="163" t="s">
        <v>452</v>
      </c>
      <c r="E63" s="175" t="s">
        <v>487</v>
      </c>
      <c r="F63" s="175"/>
      <c r="G63" s="49">
        <v>20</v>
      </c>
      <c r="L63" t="s">
        <v>431</v>
      </c>
      <c r="M63">
        <f>S50+S52+S53+S54</f>
        <v>904.5</v>
      </c>
    </row>
    <row r="64" spans="2:19" ht="16" thickBot="1" x14ac:dyDescent="0.25">
      <c r="B64" s="322"/>
      <c r="C64" s="277">
        <f t="shared" si="3"/>
        <v>53</v>
      </c>
      <c r="D64" s="163" t="s">
        <v>453</v>
      </c>
      <c r="E64" s="175" t="s">
        <v>486</v>
      </c>
      <c r="F64" s="175" t="s">
        <v>476</v>
      </c>
      <c r="G64" s="49">
        <f>8+5*6+4</f>
        <v>42</v>
      </c>
      <c r="L64" t="s">
        <v>493</v>
      </c>
      <c r="M64">
        <f>S51+S55</f>
        <v>189</v>
      </c>
    </row>
    <row r="65" spans="4:13" ht="16" thickBot="1" x14ac:dyDescent="0.25">
      <c r="G65" s="136">
        <f>SUM(G54:G64)</f>
        <v>757</v>
      </c>
      <c r="H65" s="169" t="s">
        <v>468</v>
      </c>
      <c r="L65" t="s">
        <v>494</v>
      </c>
      <c r="M65">
        <f>S56+S57+S58+S59+S60</f>
        <v>211.6</v>
      </c>
    </row>
    <row r="66" spans="4:13" x14ac:dyDescent="0.2">
      <c r="M66">
        <f>SUM(M63:M65)</f>
        <v>1305.0999999999999</v>
      </c>
    </row>
    <row r="67" spans="4:13" ht="16" thickBot="1" x14ac:dyDescent="0.25"/>
    <row r="68" spans="4:13" ht="16" thickBot="1" x14ac:dyDescent="0.25">
      <c r="F68" s="183" t="s">
        <v>491</v>
      </c>
      <c r="G68" s="184">
        <f>G65+G53+G50+G40+G32+G16+G10</f>
        <v>7835.7</v>
      </c>
      <c r="H68" s="169" t="s">
        <v>345</v>
      </c>
    </row>
    <row r="69" spans="4:13" ht="19" x14ac:dyDescent="0.25">
      <c r="D69" s="294" t="s">
        <v>584</v>
      </c>
      <c r="E69" s="249">
        <f>G68</f>
        <v>7835.7</v>
      </c>
    </row>
    <row r="70" spans="4:13" ht="19" x14ac:dyDescent="0.25">
      <c r="D70" s="295" t="s">
        <v>588</v>
      </c>
      <c r="E70" s="251">
        <f>'[1]LABOUR &amp; travel'!C57</f>
        <v>1685.0297199999998</v>
      </c>
    </row>
    <row r="71" spans="4:13" ht="19" x14ac:dyDescent="0.25">
      <c r="D71" s="250" t="s">
        <v>538</v>
      </c>
      <c r="E71" s="251">
        <v>195</v>
      </c>
    </row>
    <row r="72" spans="4:13" ht="19" x14ac:dyDescent="0.25">
      <c r="D72" s="296" t="s">
        <v>583</v>
      </c>
      <c r="E72" s="251">
        <v>966.64</v>
      </c>
    </row>
    <row r="73" spans="4:13" x14ac:dyDescent="0.2">
      <c r="D73" s="297"/>
      <c r="E73" s="308"/>
    </row>
    <row r="74" spans="4:13" ht="20" thickBot="1" x14ac:dyDescent="0.25">
      <c r="D74" s="299" t="s">
        <v>539</v>
      </c>
      <c r="E74" s="300">
        <f>SUM(E69:E73)</f>
        <v>10682.369719999999</v>
      </c>
    </row>
    <row r="75" spans="4:13" x14ac:dyDescent="0.2">
      <c r="D75" s="303"/>
      <c r="E75" s="304"/>
    </row>
    <row r="76" spans="4:13" ht="19" x14ac:dyDescent="0.25">
      <c r="D76" s="302" t="s">
        <v>589</v>
      </c>
      <c r="E76" s="251">
        <f>0.2*E74</f>
        <v>2136.4739439999998</v>
      </c>
    </row>
    <row r="77" spans="4:13" x14ac:dyDescent="0.2">
      <c r="D77" s="297"/>
      <c r="E77" s="301"/>
    </row>
    <row r="78" spans="4:13" ht="20" thickBot="1" x14ac:dyDescent="0.25">
      <c r="D78" s="298" t="s">
        <v>585</v>
      </c>
      <c r="E78" s="252">
        <f>E76+E74</f>
        <v>12818.843663999998</v>
      </c>
    </row>
  </sheetData>
  <mergeCells count="18">
    <mergeCell ref="L53:L55"/>
    <mergeCell ref="B54:B64"/>
    <mergeCell ref="L56:L59"/>
    <mergeCell ref="B33:B39"/>
    <mergeCell ref="B41:B49"/>
    <mergeCell ref="D46:D47"/>
    <mergeCell ref="D48:D49"/>
    <mergeCell ref="L50:L52"/>
    <mergeCell ref="B51:B52"/>
    <mergeCell ref="B3:B9"/>
    <mergeCell ref="B11:B15"/>
    <mergeCell ref="B17:B31"/>
    <mergeCell ref="D21:D31"/>
    <mergeCell ref="I21:I23"/>
    <mergeCell ref="E24:E28"/>
    <mergeCell ref="I24:I28"/>
    <mergeCell ref="E29:E31"/>
    <mergeCell ref="I29:I31"/>
  </mergeCells>
  <pageMargins left="0.25" right="0.25" top="0.75" bottom="0.75" header="0.3" footer="0.3"/>
  <pageSetup paperSize="8"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S78"/>
  <sheetViews>
    <sheetView topLeftCell="A30" zoomScale="82" zoomScaleNormal="82" workbookViewId="0">
      <selection activeCell="F57" sqref="F57"/>
    </sheetView>
  </sheetViews>
  <sheetFormatPr baseColWidth="10" defaultColWidth="8.83203125" defaultRowHeight="15" x14ac:dyDescent="0.2"/>
  <cols>
    <col min="2" max="2" width="15.33203125" customWidth="1"/>
    <col min="3" max="3" width="7.1640625" style="273" customWidth="1"/>
    <col min="4" max="4" width="40.83203125" bestFit="1" customWidth="1"/>
    <col min="5" max="5" width="38.83203125" style="174" bestFit="1" customWidth="1"/>
    <col min="6" max="6" width="27.83203125" style="174" bestFit="1" customWidth="1"/>
    <col min="12" max="12" width="20" bestFit="1" customWidth="1"/>
    <col min="13" max="13" width="11.5" bestFit="1" customWidth="1"/>
    <col min="14" max="14" width="15.5" bestFit="1" customWidth="1"/>
  </cols>
  <sheetData>
    <row r="2" spans="2:8" x14ac:dyDescent="0.2">
      <c r="G2" s="1" t="s">
        <v>345</v>
      </c>
    </row>
    <row r="3" spans="2:8" x14ac:dyDescent="0.2">
      <c r="B3" s="320" t="s">
        <v>424</v>
      </c>
      <c r="C3" s="274">
        <v>1</v>
      </c>
      <c r="D3" s="163" t="s">
        <v>481</v>
      </c>
      <c r="E3" s="175" t="s">
        <v>489</v>
      </c>
      <c r="F3" s="175"/>
      <c r="G3" s="22">
        <v>20</v>
      </c>
    </row>
    <row r="4" spans="2:8" x14ac:dyDescent="0.2">
      <c r="B4" s="320"/>
      <c r="C4" s="274">
        <f>C3+1</f>
        <v>2</v>
      </c>
      <c r="D4" s="163" t="s">
        <v>425</v>
      </c>
      <c r="E4" s="175"/>
      <c r="F4" s="175"/>
      <c r="G4" s="22"/>
    </row>
    <row r="5" spans="2:8" x14ac:dyDescent="0.2">
      <c r="B5" s="320"/>
      <c r="C5" s="274">
        <f t="shared" ref="C5:C9" si="0">C4+1</f>
        <v>3</v>
      </c>
      <c r="D5" s="163" t="s">
        <v>426</v>
      </c>
      <c r="E5" s="175"/>
      <c r="F5" s="175"/>
      <c r="G5" s="22"/>
    </row>
    <row r="6" spans="2:8" x14ac:dyDescent="0.2">
      <c r="B6" s="320"/>
      <c r="C6" s="274">
        <f t="shared" si="0"/>
        <v>4</v>
      </c>
      <c r="D6" s="163" t="s">
        <v>427</v>
      </c>
      <c r="E6" s="175"/>
      <c r="F6" s="175"/>
      <c r="G6" s="22"/>
    </row>
    <row r="7" spans="2:8" x14ac:dyDescent="0.2">
      <c r="B7" s="320"/>
      <c r="C7" s="274">
        <f t="shared" si="0"/>
        <v>5</v>
      </c>
      <c r="D7" s="163" t="s">
        <v>428</v>
      </c>
      <c r="E7" s="175"/>
      <c r="F7" s="175"/>
      <c r="G7" s="22"/>
    </row>
    <row r="8" spans="2:8" x14ac:dyDescent="0.2">
      <c r="B8" s="320"/>
      <c r="C8" s="274">
        <f t="shared" si="0"/>
        <v>6</v>
      </c>
      <c r="D8" s="163" t="s">
        <v>429</v>
      </c>
      <c r="E8" s="175"/>
      <c r="F8" s="175"/>
      <c r="G8" s="22"/>
    </row>
    <row r="9" spans="2:8" ht="16" thickBot="1" x14ac:dyDescent="0.25">
      <c r="B9" s="320"/>
      <c r="C9" s="274">
        <f t="shared" si="0"/>
        <v>7</v>
      </c>
      <c r="D9" s="163" t="s">
        <v>430</v>
      </c>
      <c r="E9" s="175"/>
      <c r="F9" s="175"/>
      <c r="G9" s="22">
        <v>10</v>
      </c>
    </row>
    <row r="10" spans="2:8" ht="16" thickBot="1" x14ac:dyDescent="0.25">
      <c r="G10" s="136">
        <f>SUM(G3:G9)</f>
        <v>30</v>
      </c>
      <c r="H10" s="169" t="s">
        <v>468</v>
      </c>
    </row>
    <row r="11" spans="2:8" x14ac:dyDescent="0.2">
      <c r="B11" s="321" t="s">
        <v>431</v>
      </c>
      <c r="C11" s="274">
        <f>C9+1</f>
        <v>8</v>
      </c>
      <c r="D11" s="167" t="s">
        <v>432</v>
      </c>
      <c r="E11" s="176" t="s">
        <v>455</v>
      </c>
      <c r="F11" s="176"/>
      <c r="G11" s="49">
        <v>56</v>
      </c>
    </row>
    <row r="12" spans="2:8" x14ac:dyDescent="0.2">
      <c r="B12" s="322"/>
      <c r="C12" s="274">
        <f>C11+1</f>
        <v>9</v>
      </c>
      <c r="D12" s="165"/>
      <c r="E12" s="176" t="s">
        <v>456</v>
      </c>
      <c r="F12" s="176"/>
      <c r="G12" s="49">
        <v>83</v>
      </c>
    </row>
    <row r="13" spans="2:8" x14ac:dyDescent="0.2">
      <c r="B13" s="322"/>
      <c r="C13" s="274"/>
      <c r="D13" s="182"/>
      <c r="E13" s="175"/>
      <c r="F13" s="175"/>
      <c r="G13" s="49"/>
    </row>
    <row r="14" spans="2:8" x14ac:dyDescent="0.2">
      <c r="B14" s="322"/>
      <c r="C14" s="274">
        <v>11</v>
      </c>
      <c r="D14" s="167" t="s">
        <v>433</v>
      </c>
      <c r="E14" s="175"/>
      <c r="F14" s="175"/>
      <c r="G14" s="49">
        <v>90</v>
      </c>
    </row>
    <row r="15" spans="2:8" ht="16" thickBot="1" x14ac:dyDescent="0.25">
      <c r="B15" s="323"/>
      <c r="C15" s="274">
        <f t="shared" ref="C15" si="1">C14+1</f>
        <v>12</v>
      </c>
      <c r="D15" s="167" t="s">
        <v>146</v>
      </c>
      <c r="E15" s="175"/>
      <c r="F15" s="175"/>
      <c r="G15" s="168">
        <v>250</v>
      </c>
    </row>
    <row r="16" spans="2:8" ht="16" thickBot="1" x14ac:dyDescent="0.25">
      <c r="G16" s="136">
        <f>SUM(G11:G15)</f>
        <v>479</v>
      </c>
      <c r="H16" s="169" t="s">
        <v>468</v>
      </c>
    </row>
    <row r="17" spans="2:9" x14ac:dyDescent="0.2">
      <c r="B17" s="324" t="s">
        <v>434</v>
      </c>
      <c r="C17" s="275">
        <v>13</v>
      </c>
      <c r="D17" s="164" t="s">
        <v>435</v>
      </c>
      <c r="E17" s="176" t="s">
        <v>0</v>
      </c>
      <c r="F17" s="177" t="s">
        <v>457</v>
      </c>
      <c r="G17" s="143">
        <f>44*17</f>
        <v>748</v>
      </c>
    </row>
    <row r="18" spans="2:9" x14ac:dyDescent="0.2">
      <c r="B18" s="324"/>
      <c r="C18" s="274"/>
      <c r="D18" s="16"/>
      <c r="E18" s="178"/>
      <c r="F18" s="177" t="s">
        <v>458</v>
      </c>
      <c r="G18" s="49">
        <f>81*0.8</f>
        <v>64.8</v>
      </c>
    </row>
    <row r="19" spans="2:9" x14ac:dyDescent="0.2">
      <c r="B19" s="324"/>
      <c r="C19" s="274"/>
      <c r="D19" s="16"/>
      <c r="E19" s="178"/>
      <c r="F19" s="177"/>
      <c r="G19" s="49"/>
    </row>
    <row r="20" spans="2:9" x14ac:dyDescent="0.2">
      <c r="B20" s="324"/>
      <c r="C20" s="276"/>
      <c r="D20" s="166"/>
      <c r="E20" s="179"/>
      <c r="F20" s="179"/>
      <c r="G20" s="49"/>
    </row>
    <row r="21" spans="2:9" x14ac:dyDescent="0.2">
      <c r="B21" s="324"/>
      <c r="C21" s="277">
        <v>14</v>
      </c>
      <c r="D21" s="325" t="s">
        <v>436</v>
      </c>
      <c r="E21" s="176" t="s">
        <v>459</v>
      </c>
      <c r="F21" s="180" t="s">
        <v>570</v>
      </c>
      <c r="G21" s="49">
        <f>60*17+0.8*90</f>
        <v>1092</v>
      </c>
      <c r="I21" s="326">
        <f>SUM(G21:G23)</f>
        <v>1352</v>
      </c>
    </row>
    <row r="22" spans="2:9" x14ac:dyDescent="0.2">
      <c r="B22" s="324"/>
      <c r="C22" s="277">
        <f>C21+1</f>
        <v>15</v>
      </c>
      <c r="D22" s="325"/>
      <c r="E22" s="176" t="s">
        <v>460</v>
      </c>
      <c r="F22" s="180"/>
      <c r="G22" s="49">
        <v>180</v>
      </c>
      <c r="I22" s="326"/>
    </row>
    <row r="23" spans="2:9" x14ac:dyDescent="0.2">
      <c r="B23" s="324"/>
      <c r="C23" s="277">
        <f t="shared" ref="C23:C49" si="2">C22+1</f>
        <v>16</v>
      </c>
      <c r="D23" s="325"/>
      <c r="E23" s="176" t="s">
        <v>461</v>
      </c>
      <c r="F23" s="180"/>
      <c r="G23" s="49">
        <v>80</v>
      </c>
      <c r="I23" s="326"/>
    </row>
    <row r="24" spans="2:9" x14ac:dyDescent="0.2">
      <c r="B24" s="324"/>
      <c r="C24" s="277">
        <f t="shared" si="2"/>
        <v>17</v>
      </c>
      <c r="D24" s="325"/>
      <c r="E24" s="327" t="s">
        <v>462</v>
      </c>
      <c r="F24" s="181" t="s">
        <v>496</v>
      </c>
      <c r="G24" s="49">
        <v>140</v>
      </c>
      <c r="H24" t="s">
        <v>345</v>
      </c>
      <c r="I24" s="328">
        <f>SUM(G24:G28)</f>
        <v>221</v>
      </c>
    </row>
    <row r="25" spans="2:9" x14ac:dyDescent="0.2">
      <c r="B25" s="324"/>
      <c r="C25" s="277">
        <f t="shared" si="2"/>
        <v>18</v>
      </c>
      <c r="D25" s="325"/>
      <c r="E25" s="327"/>
      <c r="F25" s="181" t="s">
        <v>497</v>
      </c>
      <c r="G25" s="49">
        <v>30</v>
      </c>
      <c r="H25" t="s">
        <v>345</v>
      </c>
      <c r="I25" s="328"/>
    </row>
    <row r="26" spans="2:9" x14ac:dyDescent="0.2">
      <c r="B26" s="324"/>
      <c r="C26" s="277">
        <f t="shared" si="2"/>
        <v>19</v>
      </c>
      <c r="D26" s="325"/>
      <c r="E26" s="327"/>
      <c r="F26" s="177" t="s">
        <v>40</v>
      </c>
      <c r="G26" s="49">
        <v>20</v>
      </c>
      <c r="H26" t="s">
        <v>345</v>
      </c>
      <c r="I26" s="328"/>
    </row>
    <row r="27" spans="2:9" x14ac:dyDescent="0.2">
      <c r="B27" s="324"/>
      <c r="C27" s="277">
        <f t="shared" si="2"/>
        <v>20</v>
      </c>
      <c r="D27" s="325"/>
      <c r="E27" s="327"/>
      <c r="F27" s="177" t="s">
        <v>463</v>
      </c>
      <c r="G27" s="49">
        <v>30</v>
      </c>
      <c r="H27" t="s">
        <v>345</v>
      </c>
      <c r="I27" s="328"/>
    </row>
    <row r="28" spans="2:9" x14ac:dyDescent="0.2">
      <c r="B28" s="324"/>
      <c r="C28" s="277">
        <f t="shared" si="2"/>
        <v>21</v>
      </c>
      <c r="D28" s="325"/>
      <c r="E28" s="327"/>
      <c r="F28" s="177" t="s">
        <v>490</v>
      </c>
      <c r="G28" s="49">
        <v>1</v>
      </c>
      <c r="H28" t="s">
        <v>345</v>
      </c>
      <c r="I28" s="328"/>
    </row>
    <row r="29" spans="2:9" x14ac:dyDescent="0.2">
      <c r="B29" s="324"/>
      <c r="C29" s="277">
        <f t="shared" si="2"/>
        <v>22</v>
      </c>
      <c r="D29" s="325"/>
      <c r="E29" s="329" t="s">
        <v>464</v>
      </c>
      <c r="F29" s="177" t="s">
        <v>465</v>
      </c>
      <c r="G29" s="49">
        <v>100</v>
      </c>
      <c r="I29" s="330">
        <f>SUM(G29:G31)</f>
        <v>127</v>
      </c>
    </row>
    <row r="30" spans="2:9" x14ac:dyDescent="0.2">
      <c r="B30" s="324"/>
      <c r="C30" s="277">
        <f t="shared" si="2"/>
        <v>23</v>
      </c>
      <c r="D30" s="325"/>
      <c r="E30" s="329"/>
      <c r="F30" s="177" t="s">
        <v>467</v>
      </c>
      <c r="G30" s="49">
        <v>15</v>
      </c>
      <c r="I30" s="330"/>
    </row>
    <row r="31" spans="2:9" ht="16" thickBot="1" x14ac:dyDescent="0.25">
      <c r="B31" s="324"/>
      <c r="C31" s="277">
        <f t="shared" si="2"/>
        <v>24</v>
      </c>
      <c r="D31" s="325"/>
      <c r="E31" s="329"/>
      <c r="F31" s="177" t="s">
        <v>466</v>
      </c>
      <c r="G31" s="49">
        <v>12</v>
      </c>
      <c r="I31" s="330"/>
    </row>
    <row r="32" spans="2:9" ht="16" thickBot="1" x14ac:dyDescent="0.25">
      <c r="G32" s="173">
        <f>SUM(G17:G31)</f>
        <v>2512.8000000000002</v>
      </c>
      <c r="H32" s="169" t="s">
        <v>468</v>
      </c>
    </row>
    <row r="33" spans="2:8" x14ac:dyDescent="0.2">
      <c r="B33" s="332" t="s">
        <v>437</v>
      </c>
      <c r="C33" s="277">
        <v>25</v>
      </c>
      <c r="D33" s="163" t="s">
        <v>438</v>
      </c>
      <c r="E33" s="270" t="s">
        <v>47</v>
      </c>
      <c r="F33" s="175"/>
      <c r="G33" s="271">
        <f>50*5</f>
        <v>250</v>
      </c>
    </row>
    <row r="34" spans="2:8" x14ac:dyDescent="0.2">
      <c r="B34" s="333"/>
      <c r="C34" s="277">
        <f t="shared" si="2"/>
        <v>26</v>
      </c>
      <c r="D34" s="163"/>
      <c r="E34" s="176" t="s">
        <v>571</v>
      </c>
      <c r="F34" s="175"/>
      <c r="G34" s="49">
        <f>4*8</f>
        <v>32</v>
      </c>
    </row>
    <row r="35" spans="2:8" x14ac:dyDescent="0.2">
      <c r="B35" s="333"/>
      <c r="C35" s="277">
        <f t="shared" si="2"/>
        <v>27</v>
      </c>
      <c r="D35" s="163"/>
      <c r="E35" s="176" t="s">
        <v>48</v>
      </c>
      <c r="F35" s="175"/>
      <c r="G35" s="49">
        <f>50*5</f>
        <v>250</v>
      </c>
    </row>
    <row r="36" spans="2:8" x14ac:dyDescent="0.2">
      <c r="B36" s="333"/>
      <c r="C36" s="277">
        <f t="shared" si="2"/>
        <v>28</v>
      </c>
      <c r="D36" s="163"/>
      <c r="E36" s="176" t="s">
        <v>572</v>
      </c>
      <c r="F36" s="175"/>
      <c r="G36" s="49">
        <f>3*160</f>
        <v>480</v>
      </c>
    </row>
    <row r="37" spans="2:8" x14ac:dyDescent="0.2">
      <c r="B37" s="333"/>
      <c r="C37" s="277">
        <f t="shared" si="2"/>
        <v>29</v>
      </c>
      <c r="D37" s="163" t="s">
        <v>439</v>
      </c>
      <c r="E37" s="176" t="s">
        <v>603</v>
      </c>
      <c r="F37" s="175"/>
      <c r="G37" s="49">
        <f>3*10+20</f>
        <v>50</v>
      </c>
    </row>
    <row r="38" spans="2:8" x14ac:dyDescent="0.2">
      <c r="B38" s="333"/>
      <c r="C38" s="277">
        <f t="shared" si="2"/>
        <v>30</v>
      </c>
      <c r="D38" s="163"/>
      <c r="E38" s="176" t="s">
        <v>393</v>
      </c>
      <c r="F38" s="175"/>
      <c r="G38" s="49">
        <v>20</v>
      </c>
    </row>
    <row r="39" spans="2:8" ht="16" thickBot="1" x14ac:dyDescent="0.25">
      <c r="B39" s="334"/>
      <c r="C39" s="277">
        <f t="shared" si="2"/>
        <v>31</v>
      </c>
      <c r="D39" s="163" t="s">
        <v>469</v>
      </c>
      <c r="E39" s="176" t="s">
        <v>470</v>
      </c>
      <c r="F39" s="175"/>
      <c r="G39" s="49">
        <v>200</v>
      </c>
    </row>
    <row r="40" spans="2:8" ht="16" thickBot="1" x14ac:dyDescent="0.25">
      <c r="G40" s="173">
        <f>SUM(G33:G39)</f>
        <v>1282</v>
      </c>
      <c r="H40" s="169" t="s">
        <v>468</v>
      </c>
    </row>
    <row r="41" spans="2:8" x14ac:dyDescent="0.2">
      <c r="B41" s="332" t="s">
        <v>440</v>
      </c>
      <c r="C41" s="277">
        <v>32</v>
      </c>
      <c r="D41" s="164" t="s">
        <v>441</v>
      </c>
      <c r="E41" s="175" t="s">
        <v>471</v>
      </c>
      <c r="F41" s="175" t="s">
        <v>472</v>
      </c>
      <c r="G41" s="49">
        <v>1160</v>
      </c>
    </row>
    <row r="42" spans="2:8" x14ac:dyDescent="0.2">
      <c r="B42" s="333"/>
      <c r="C42" s="277">
        <f t="shared" si="2"/>
        <v>33</v>
      </c>
      <c r="D42" s="164" t="s">
        <v>442</v>
      </c>
      <c r="E42" s="175" t="s">
        <v>483</v>
      </c>
      <c r="F42" s="175" t="s">
        <v>498</v>
      </c>
      <c r="G42" s="49">
        <f>3.65*52</f>
        <v>189.79999999999998</v>
      </c>
    </row>
    <row r="43" spans="2:8" x14ac:dyDescent="0.2">
      <c r="B43" s="333"/>
      <c r="C43" s="277">
        <f t="shared" si="2"/>
        <v>34</v>
      </c>
      <c r="D43" s="163" t="s">
        <v>473</v>
      </c>
      <c r="E43" s="175" t="s">
        <v>474</v>
      </c>
      <c r="F43" s="175"/>
      <c r="G43" s="49">
        <f>3*25</f>
        <v>75</v>
      </c>
    </row>
    <row r="44" spans="2:8" x14ac:dyDescent="0.2">
      <c r="B44" s="333"/>
      <c r="C44" s="277">
        <f t="shared" si="2"/>
        <v>35</v>
      </c>
      <c r="D44" s="164" t="s">
        <v>482</v>
      </c>
      <c r="E44" s="175"/>
      <c r="F44" s="175"/>
      <c r="G44" s="49"/>
    </row>
    <row r="45" spans="2:8" x14ac:dyDescent="0.2">
      <c r="B45" s="333"/>
      <c r="C45" s="277">
        <f t="shared" si="2"/>
        <v>36</v>
      </c>
      <c r="D45" s="164" t="s">
        <v>443</v>
      </c>
      <c r="E45" s="175" t="s">
        <v>492</v>
      </c>
      <c r="F45" s="175"/>
      <c r="G45" s="49">
        <v>30</v>
      </c>
    </row>
    <row r="46" spans="2:8" x14ac:dyDescent="0.2">
      <c r="B46" s="333"/>
      <c r="C46" s="277">
        <f t="shared" si="2"/>
        <v>37</v>
      </c>
      <c r="D46" s="335" t="s">
        <v>574</v>
      </c>
      <c r="E46" s="203" t="s">
        <v>501</v>
      </c>
      <c r="F46" s="175"/>
      <c r="G46" s="49">
        <v>8.8000000000000007</v>
      </c>
    </row>
    <row r="47" spans="2:8" x14ac:dyDescent="0.2">
      <c r="B47" s="333"/>
      <c r="C47" s="277">
        <f t="shared" si="2"/>
        <v>38</v>
      </c>
      <c r="D47" s="336"/>
      <c r="E47" s="203" t="s">
        <v>502</v>
      </c>
      <c r="F47" s="175"/>
      <c r="G47" s="49">
        <v>4.4000000000000004</v>
      </c>
    </row>
    <row r="48" spans="2:8" x14ac:dyDescent="0.2">
      <c r="B48" s="333"/>
      <c r="C48" s="277">
        <f t="shared" si="2"/>
        <v>39</v>
      </c>
      <c r="D48" s="335" t="s">
        <v>575</v>
      </c>
      <c r="E48" s="174" t="s">
        <v>499</v>
      </c>
      <c r="F48" s="175"/>
      <c r="G48" s="49">
        <v>8</v>
      </c>
    </row>
    <row r="49" spans="2:19" ht="16" thickBot="1" x14ac:dyDescent="0.25">
      <c r="B49" s="334"/>
      <c r="C49" s="277">
        <f t="shared" si="2"/>
        <v>40</v>
      </c>
      <c r="D49" s="336"/>
      <c r="E49" s="175" t="s">
        <v>500</v>
      </c>
      <c r="F49" s="175"/>
      <c r="G49" s="49">
        <v>3.2</v>
      </c>
    </row>
    <row r="50" spans="2:19" ht="16" thickBot="1" x14ac:dyDescent="0.25">
      <c r="G50" s="136">
        <f>SUM(G41:G49)</f>
        <v>1479.2</v>
      </c>
      <c r="H50" s="169" t="s">
        <v>468</v>
      </c>
      <c r="L50" s="337" t="s">
        <v>374</v>
      </c>
      <c r="M50" s="52" t="s">
        <v>364</v>
      </c>
      <c r="N50" s="106" t="s">
        <v>363</v>
      </c>
      <c r="O50" s="106" t="s">
        <v>365</v>
      </c>
      <c r="P50" s="106" t="s">
        <v>368</v>
      </c>
      <c r="Q50" s="106" t="s">
        <v>371</v>
      </c>
      <c r="R50" s="106"/>
      <c r="S50" s="171">
        <f>198*3</f>
        <v>594</v>
      </c>
    </row>
    <row r="51" spans="2:19" x14ac:dyDescent="0.2">
      <c r="B51" s="320" t="s">
        <v>1</v>
      </c>
      <c r="C51" s="274">
        <v>41</v>
      </c>
      <c r="D51" s="163" t="s">
        <v>1</v>
      </c>
      <c r="E51" s="175" t="s">
        <v>475</v>
      </c>
      <c r="F51" s="175" t="s">
        <v>477</v>
      </c>
      <c r="G51" s="143">
        <v>1207</v>
      </c>
      <c r="L51" s="331"/>
      <c r="M51" s="18" t="s">
        <v>366</v>
      </c>
      <c r="N51" s="49" t="s">
        <v>363</v>
      </c>
      <c r="O51" s="49" t="s">
        <v>367</v>
      </c>
      <c r="P51" s="49" t="s">
        <v>369</v>
      </c>
      <c r="Q51" s="49" t="s">
        <v>372</v>
      </c>
      <c r="R51" s="49"/>
      <c r="S51" s="170">
        <v>139</v>
      </c>
    </row>
    <row r="52" spans="2:19" ht="16" thickBot="1" x14ac:dyDescent="0.25">
      <c r="B52" s="320"/>
      <c r="C52" s="274">
        <v>42</v>
      </c>
      <c r="D52" s="163" t="s">
        <v>495</v>
      </c>
      <c r="E52" s="175"/>
      <c r="F52" s="175"/>
      <c r="G52" s="49">
        <v>26.5</v>
      </c>
      <c r="L52" s="331"/>
      <c r="M52" s="18" t="s">
        <v>370</v>
      </c>
      <c r="N52" s="49"/>
      <c r="O52" s="49" t="s">
        <v>365</v>
      </c>
      <c r="P52" s="49" t="s">
        <v>369</v>
      </c>
      <c r="Q52" s="49" t="s">
        <v>373</v>
      </c>
      <c r="R52" s="49"/>
      <c r="S52" s="170">
        <v>132</v>
      </c>
    </row>
    <row r="53" spans="2:19" ht="16" thickBot="1" x14ac:dyDescent="0.25">
      <c r="G53" s="136">
        <f>SUM(G51:G52)</f>
        <v>1233.5</v>
      </c>
      <c r="H53" s="169" t="s">
        <v>468</v>
      </c>
      <c r="L53" s="331" t="s">
        <v>333</v>
      </c>
      <c r="M53" s="18" t="s">
        <v>359</v>
      </c>
      <c r="N53" s="49" t="s">
        <v>360</v>
      </c>
      <c r="O53" s="49" t="s">
        <v>361</v>
      </c>
      <c r="P53" s="49" t="s">
        <v>362</v>
      </c>
      <c r="Q53" s="49"/>
      <c r="R53" s="49"/>
      <c r="S53" s="111">
        <v>140</v>
      </c>
    </row>
    <row r="54" spans="2:19" x14ac:dyDescent="0.2">
      <c r="B54" s="321" t="s">
        <v>444</v>
      </c>
      <c r="C54" s="277">
        <v>43</v>
      </c>
      <c r="D54" s="164" t="s">
        <v>445</v>
      </c>
      <c r="E54" s="175" t="s">
        <v>488</v>
      </c>
      <c r="F54" s="175"/>
      <c r="G54" s="143">
        <v>60</v>
      </c>
      <c r="L54" s="331"/>
      <c r="M54" s="18" t="s">
        <v>358</v>
      </c>
      <c r="N54" s="49"/>
      <c r="O54" s="49"/>
      <c r="P54" s="49"/>
      <c r="Q54" s="49"/>
      <c r="R54" s="49"/>
      <c r="S54" s="170">
        <v>38.5</v>
      </c>
    </row>
    <row r="55" spans="2:19" x14ac:dyDescent="0.2">
      <c r="B55" s="322"/>
      <c r="C55" s="277">
        <f t="shared" ref="C55:C64" si="3">C54+1</f>
        <v>44</v>
      </c>
      <c r="D55" s="164" t="s">
        <v>446</v>
      </c>
      <c r="E55" s="175" t="s">
        <v>478</v>
      </c>
      <c r="F55" s="175"/>
      <c r="G55" s="49">
        <f>205+3*8</f>
        <v>229</v>
      </c>
      <c r="L55" s="331"/>
      <c r="M55" s="18" t="s">
        <v>357</v>
      </c>
      <c r="N55" s="49"/>
      <c r="O55" s="49"/>
      <c r="P55" s="49"/>
      <c r="Q55" s="49"/>
      <c r="R55" s="49"/>
      <c r="S55" s="170">
        <v>50</v>
      </c>
    </row>
    <row r="56" spans="2:19" x14ac:dyDescent="0.2">
      <c r="B56" s="322"/>
      <c r="C56" s="277">
        <f t="shared" si="3"/>
        <v>45</v>
      </c>
      <c r="D56" s="164" t="s">
        <v>447</v>
      </c>
      <c r="E56" s="175"/>
      <c r="F56" s="175"/>
      <c r="G56" s="49">
        <v>150</v>
      </c>
      <c r="L56" s="331" t="s">
        <v>375</v>
      </c>
      <c r="M56" s="18" t="s">
        <v>376</v>
      </c>
      <c r="N56" s="49" t="s">
        <v>379</v>
      </c>
      <c r="O56" s="49"/>
      <c r="P56" s="49"/>
      <c r="Q56" s="49"/>
      <c r="R56" s="49"/>
      <c r="S56" s="170">
        <v>30.6</v>
      </c>
    </row>
    <row r="57" spans="2:19" x14ac:dyDescent="0.2">
      <c r="B57" s="322"/>
      <c r="C57" s="277">
        <f t="shared" si="3"/>
        <v>46</v>
      </c>
      <c r="D57" s="164" t="s">
        <v>448</v>
      </c>
      <c r="E57" s="175"/>
      <c r="F57" s="175"/>
      <c r="G57" s="49">
        <v>50</v>
      </c>
      <c r="L57" s="331"/>
      <c r="M57" s="18" t="s">
        <v>377</v>
      </c>
      <c r="N57" s="49" t="s">
        <v>378</v>
      </c>
      <c r="O57" s="49"/>
      <c r="P57" s="49"/>
      <c r="Q57" s="49"/>
      <c r="R57" s="49"/>
      <c r="S57" s="170">
        <v>11.8</v>
      </c>
    </row>
    <row r="58" spans="2:19" x14ac:dyDescent="0.2">
      <c r="B58" s="322"/>
      <c r="C58" s="277">
        <f t="shared" si="3"/>
        <v>47</v>
      </c>
      <c r="D58" s="272" t="s">
        <v>3</v>
      </c>
      <c r="E58" s="175"/>
      <c r="F58" s="175"/>
      <c r="G58" s="49">
        <v>120</v>
      </c>
      <c r="L58" s="331"/>
      <c r="M58" s="18" t="s">
        <v>380</v>
      </c>
      <c r="N58" s="49" t="s">
        <v>381</v>
      </c>
      <c r="O58" s="49"/>
      <c r="P58" s="49"/>
      <c r="Q58" s="49"/>
      <c r="R58" s="49"/>
      <c r="S58" s="170">
        <f>18*0.9*9</f>
        <v>145.79999999999998</v>
      </c>
    </row>
    <row r="59" spans="2:19" x14ac:dyDescent="0.2">
      <c r="B59" s="322"/>
      <c r="C59" s="277">
        <f t="shared" si="3"/>
        <v>48</v>
      </c>
      <c r="D59" s="164" t="s">
        <v>449</v>
      </c>
      <c r="E59" s="175" t="s">
        <v>573</v>
      </c>
      <c r="F59" s="175"/>
      <c r="G59" s="49">
        <v>6</v>
      </c>
      <c r="L59" s="331"/>
      <c r="M59" s="18" t="s">
        <v>203</v>
      </c>
      <c r="N59" s="49" t="s">
        <v>382</v>
      </c>
      <c r="O59" s="49"/>
      <c r="P59" s="49"/>
      <c r="Q59" s="49"/>
      <c r="R59" s="49"/>
      <c r="S59" s="170">
        <f>6.5*(1+0.2*8)</f>
        <v>16.900000000000002</v>
      </c>
    </row>
    <row r="60" spans="2:19" ht="16" thickBot="1" x14ac:dyDescent="0.25">
      <c r="B60" s="322"/>
      <c r="C60" s="277">
        <f t="shared" si="3"/>
        <v>49</v>
      </c>
      <c r="D60" s="164" t="s">
        <v>480</v>
      </c>
      <c r="E60" s="175"/>
      <c r="F60" s="175"/>
      <c r="G60" s="49">
        <v>40</v>
      </c>
      <c r="L60" s="172" t="s">
        <v>383</v>
      </c>
      <c r="M60" s="23" t="s">
        <v>2</v>
      </c>
      <c r="N60" s="109" t="s">
        <v>384</v>
      </c>
      <c r="O60" s="109"/>
      <c r="P60" s="109"/>
      <c r="Q60" s="109"/>
      <c r="R60" s="109"/>
      <c r="S60" s="172">
        <f>5*(1+0.15*2)</f>
        <v>6.5</v>
      </c>
    </row>
    <row r="61" spans="2:19" x14ac:dyDescent="0.2">
      <c r="B61" s="322"/>
      <c r="C61" s="277">
        <f t="shared" si="3"/>
        <v>50</v>
      </c>
      <c r="D61" s="164" t="s">
        <v>450</v>
      </c>
      <c r="E61" s="175"/>
      <c r="F61" s="175"/>
      <c r="G61" s="49">
        <v>30</v>
      </c>
    </row>
    <row r="62" spans="2:19" x14ac:dyDescent="0.2">
      <c r="B62" s="322"/>
      <c r="C62" s="277">
        <f t="shared" si="3"/>
        <v>51</v>
      </c>
      <c r="D62" s="164" t="s">
        <v>451</v>
      </c>
      <c r="E62" s="175" t="s">
        <v>479</v>
      </c>
      <c r="F62" s="175"/>
      <c r="G62" s="49">
        <v>10</v>
      </c>
    </row>
    <row r="63" spans="2:19" x14ac:dyDescent="0.2">
      <c r="B63" s="322"/>
      <c r="C63" s="277">
        <f t="shared" si="3"/>
        <v>52</v>
      </c>
      <c r="D63" s="163" t="s">
        <v>452</v>
      </c>
      <c r="E63" s="175" t="s">
        <v>487</v>
      </c>
      <c r="F63" s="175"/>
      <c r="G63" s="49">
        <v>20</v>
      </c>
      <c r="L63" t="s">
        <v>431</v>
      </c>
      <c r="M63">
        <f>S50+S52+S53+S54</f>
        <v>904.5</v>
      </c>
    </row>
    <row r="64" spans="2:19" ht="16" thickBot="1" x14ac:dyDescent="0.25">
      <c r="B64" s="322"/>
      <c r="C64" s="277">
        <f t="shared" si="3"/>
        <v>53</v>
      </c>
      <c r="D64" s="163" t="s">
        <v>453</v>
      </c>
      <c r="E64" s="175" t="s">
        <v>486</v>
      </c>
      <c r="F64" s="175" t="s">
        <v>476</v>
      </c>
      <c r="G64" s="49">
        <f>8+5*6+4</f>
        <v>42</v>
      </c>
      <c r="L64" t="s">
        <v>493</v>
      </c>
      <c r="M64">
        <f>S51+S55</f>
        <v>189</v>
      </c>
    </row>
    <row r="65" spans="4:13" ht="16" thickBot="1" x14ac:dyDescent="0.25">
      <c r="G65" s="136">
        <f>SUM(G54:G64)</f>
        <v>757</v>
      </c>
      <c r="H65" s="169" t="s">
        <v>468</v>
      </c>
      <c r="L65" t="s">
        <v>494</v>
      </c>
      <c r="M65">
        <f>S56+S57+S58+S59+S60</f>
        <v>211.6</v>
      </c>
    </row>
    <row r="66" spans="4:13" x14ac:dyDescent="0.2">
      <c r="M66">
        <f>SUM(M63:M65)</f>
        <v>1305.0999999999999</v>
      </c>
    </row>
    <row r="67" spans="4:13" ht="16" thickBot="1" x14ac:dyDescent="0.25"/>
    <row r="68" spans="4:13" ht="16" thickBot="1" x14ac:dyDescent="0.25">
      <c r="F68" s="183" t="s">
        <v>491</v>
      </c>
      <c r="G68" s="184">
        <f>G65+G53+G50+G40+G32+G16+G10</f>
        <v>7773.5</v>
      </c>
      <c r="H68" s="169" t="s">
        <v>345</v>
      </c>
    </row>
    <row r="69" spans="4:13" ht="19" x14ac:dyDescent="0.25">
      <c r="D69" s="294" t="s">
        <v>584</v>
      </c>
      <c r="E69" s="249">
        <f>G68</f>
        <v>7773.5</v>
      </c>
    </row>
    <row r="70" spans="4:13" ht="19" x14ac:dyDescent="0.25">
      <c r="D70" s="295" t="s">
        <v>588</v>
      </c>
      <c r="E70" s="251">
        <v>1685</v>
      </c>
    </row>
    <row r="71" spans="4:13" ht="19" x14ac:dyDescent="0.25">
      <c r="D71" s="250" t="s">
        <v>538</v>
      </c>
      <c r="E71" s="251">
        <v>195</v>
      </c>
    </row>
    <row r="72" spans="4:13" ht="19" x14ac:dyDescent="0.25">
      <c r="D72" s="296" t="s">
        <v>583</v>
      </c>
      <c r="E72" s="251">
        <v>966.64</v>
      </c>
    </row>
    <row r="73" spans="4:13" x14ac:dyDescent="0.2">
      <c r="D73" s="297"/>
      <c r="E73" s="204"/>
    </row>
    <row r="74" spans="4:13" ht="20" thickBot="1" x14ac:dyDescent="0.25">
      <c r="D74" s="299" t="s">
        <v>539</v>
      </c>
      <c r="E74" s="300">
        <f>SUM(E69:E73)</f>
        <v>10620.14</v>
      </c>
    </row>
    <row r="75" spans="4:13" x14ac:dyDescent="0.2">
      <c r="D75" s="303"/>
      <c r="E75" s="304"/>
    </row>
    <row r="76" spans="4:13" ht="19" x14ac:dyDescent="0.25">
      <c r="D76" s="302" t="s">
        <v>589</v>
      </c>
      <c r="E76" s="251">
        <f>0.2*E74</f>
        <v>2124.0279999999998</v>
      </c>
    </row>
    <row r="77" spans="4:13" x14ac:dyDescent="0.2">
      <c r="D77" s="297"/>
      <c r="E77" s="301"/>
    </row>
    <row r="78" spans="4:13" ht="20" thickBot="1" x14ac:dyDescent="0.25">
      <c r="D78" s="298" t="s">
        <v>585</v>
      </c>
      <c r="E78" s="252">
        <f>E76+E74</f>
        <v>12744.168</v>
      </c>
    </row>
  </sheetData>
  <mergeCells count="18">
    <mergeCell ref="I21:I23"/>
    <mergeCell ref="I29:I31"/>
    <mergeCell ref="I24:I28"/>
    <mergeCell ref="D46:D47"/>
    <mergeCell ref="D48:D49"/>
    <mergeCell ref="E24:E28"/>
    <mergeCell ref="E29:E31"/>
    <mergeCell ref="B3:B9"/>
    <mergeCell ref="B11:B15"/>
    <mergeCell ref="B17:B31"/>
    <mergeCell ref="D21:D31"/>
    <mergeCell ref="B33:B39"/>
    <mergeCell ref="L50:L52"/>
    <mergeCell ref="L53:L55"/>
    <mergeCell ref="L56:L59"/>
    <mergeCell ref="B51:B52"/>
    <mergeCell ref="B41:B49"/>
    <mergeCell ref="B54:B64"/>
  </mergeCells>
  <pageMargins left="0.25" right="0.25" top="0.75" bottom="0.75" header="0.3" footer="0.3"/>
  <pageSetup paperSize="8" scale="9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1"/>
  <sheetViews>
    <sheetView topLeftCell="A4" zoomScale="87" zoomScaleNormal="87" workbookViewId="0">
      <selection activeCell="O9" sqref="O9"/>
    </sheetView>
  </sheetViews>
  <sheetFormatPr baseColWidth="10" defaultColWidth="8.83203125" defaultRowHeight="15" x14ac:dyDescent="0.2"/>
  <cols>
    <col min="2" max="2" width="37.5" bestFit="1" customWidth="1"/>
    <col min="3" max="3" width="12.83203125" style="1" customWidth="1"/>
    <col min="4" max="9" width="9.1640625" style="1" customWidth="1"/>
    <col min="10" max="10" width="12.83203125" style="1" customWidth="1"/>
    <col min="11" max="11" width="12.83203125" bestFit="1" customWidth="1"/>
    <col min="12" max="13" width="9.1640625" hidden="1" customWidth="1"/>
    <col min="14" max="14" width="10.5" customWidth="1"/>
    <col min="15" max="16" width="9.1640625" customWidth="1"/>
    <col min="17" max="17" width="51.1640625" bestFit="1" customWidth="1"/>
    <col min="18" max="20" width="9.33203125" bestFit="1" customWidth="1"/>
    <col min="21" max="21" width="9.5" customWidth="1"/>
    <col min="22" max="22" width="10.83203125" bestFit="1" customWidth="1"/>
    <col min="23" max="25" width="9.33203125" bestFit="1" customWidth="1"/>
    <col min="31" max="31" width="30.5" bestFit="1" customWidth="1"/>
  </cols>
  <sheetData>
    <row r="2" spans="2:32" x14ac:dyDescent="0.2">
      <c r="J2" s="1" t="s">
        <v>503</v>
      </c>
      <c r="K2">
        <v>65.3</v>
      </c>
      <c r="L2" t="s">
        <v>504</v>
      </c>
    </row>
    <row r="4" spans="2:32" ht="31" x14ac:dyDescent="0.35">
      <c r="B4" s="205" t="s">
        <v>505</v>
      </c>
    </row>
    <row r="5" spans="2:32" ht="16" thickBot="1" x14ac:dyDescent="0.25"/>
    <row r="6" spans="2:32" ht="30" x14ac:dyDescent="0.2">
      <c r="B6" s="206" t="s">
        <v>506</v>
      </c>
      <c r="C6" s="6">
        <v>2017</v>
      </c>
      <c r="D6" s="6">
        <f>C6+1</f>
        <v>2018</v>
      </c>
      <c r="E6" s="6">
        <f t="shared" ref="E6:I6" si="0">D6+1</f>
        <v>2019</v>
      </c>
      <c r="F6" s="6">
        <f t="shared" si="0"/>
        <v>2020</v>
      </c>
      <c r="G6" s="6">
        <f t="shared" si="0"/>
        <v>2021</v>
      </c>
      <c r="H6" s="6">
        <f t="shared" si="0"/>
        <v>2022</v>
      </c>
      <c r="I6" s="6">
        <f t="shared" si="0"/>
        <v>2023</v>
      </c>
      <c r="J6" s="207" t="s">
        <v>507</v>
      </c>
      <c r="Q6" s="259" t="s">
        <v>541</v>
      </c>
      <c r="R6" s="259" t="s">
        <v>542</v>
      </c>
      <c r="S6" s="259" t="s">
        <v>543</v>
      </c>
      <c r="T6" s="259" t="s">
        <v>544</v>
      </c>
      <c r="U6" s="259" t="s">
        <v>545</v>
      </c>
      <c r="V6" s="259" t="s">
        <v>546</v>
      </c>
      <c r="W6" s="259" t="s">
        <v>547</v>
      </c>
      <c r="X6" s="259" t="s">
        <v>548</v>
      </c>
      <c r="Y6" s="259" t="s">
        <v>549</v>
      </c>
      <c r="Z6" s="259"/>
    </row>
    <row r="7" spans="2:32" ht="16" thickBot="1" x14ac:dyDescent="0.25">
      <c r="B7" s="208" t="s">
        <v>508</v>
      </c>
      <c r="C7" s="209"/>
      <c r="D7" s="209"/>
      <c r="E7" s="209"/>
      <c r="F7" s="209"/>
      <c r="G7" s="209"/>
      <c r="H7" s="209"/>
      <c r="I7" s="209"/>
      <c r="J7" s="210"/>
      <c r="L7" t="s">
        <v>576</v>
      </c>
      <c r="M7" t="s">
        <v>576</v>
      </c>
      <c r="N7" t="s">
        <v>581</v>
      </c>
      <c r="O7" t="s">
        <v>581</v>
      </c>
      <c r="Q7" s="259" t="s">
        <v>550</v>
      </c>
      <c r="R7" s="259">
        <f>55.21/1000</f>
        <v>5.5210000000000002E-2</v>
      </c>
      <c r="S7" s="259">
        <f>56.04/1000</f>
        <v>5.604E-2</v>
      </c>
      <c r="T7" s="259">
        <f>56.88/1000</f>
        <v>5.688E-2</v>
      </c>
      <c r="U7" s="259">
        <f>57.73/1000</f>
        <v>5.7729999999999997E-2</v>
      </c>
      <c r="V7" s="259">
        <f>58.6/1000</f>
        <v>5.8599999999999999E-2</v>
      </c>
      <c r="W7" s="259">
        <f>59.48/1000</f>
        <v>5.9479999999999998E-2</v>
      </c>
      <c r="X7" s="259">
        <f>W7*1.015</f>
        <v>6.0372199999999994E-2</v>
      </c>
      <c r="Y7" s="259">
        <f>X7*1.015</f>
        <v>6.1277782999999988E-2</v>
      </c>
      <c r="Z7" s="259"/>
    </row>
    <row r="8" spans="2:32" ht="16" thickBot="1" x14ac:dyDescent="0.25">
      <c r="B8" s="211" t="s">
        <v>509</v>
      </c>
      <c r="C8" s="340"/>
      <c r="D8" s="340"/>
      <c r="E8" s="340"/>
      <c r="F8" s="340"/>
      <c r="G8" s="340"/>
      <c r="H8" s="340"/>
      <c r="I8" s="340"/>
      <c r="J8" s="341"/>
      <c r="L8" s="1" t="s">
        <v>582</v>
      </c>
      <c r="M8" s="1" t="s">
        <v>417</v>
      </c>
      <c r="N8" s="1" t="s">
        <v>582</v>
      </c>
      <c r="O8" s="1" t="s">
        <v>417</v>
      </c>
      <c r="Q8" s="259" t="s">
        <v>551</v>
      </c>
      <c r="R8" s="259">
        <f>44.87/1000</f>
        <v>4.487E-2</v>
      </c>
      <c r="S8" s="259">
        <f>45.54/1000</f>
        <v>4.5539999999999997E-2</v>
      </c>
      <c r="T8" s="259">
        <f>46.22/1000</f>
        <v>4.6219999999999997E-2</v>
      </c>
      <c r="U8" s="259">
        <f>46.92/1000</f>
        <v>4.6920000000000003E-2</v>
      </c>
      <c r="V8" s="259">
        <f>47.62/1000</f>
        <v>4.7619999999999996E-2</v>
      </c>
      <c r="W8" s="259">
        <f>48.34/1000</f>
        <v>4.8340000000000001E-2</v>
      </c>
      <c r="X8" s="259">
        <f t="shared" ref="X8:Y12" si="1">W8*1.015</f>
        <v>4.9065099999999993E-2</v>
      </c>
      <c r="Y8" s="259">
        <f t="shared" si="1"/>
        <v>4.9801076499999986E-2</v>
      </c>
      <c r="Z8" s="259"/>
    </row>
    <row r="9" spans="2:32" ht="18" customHeight="1" x14ac:dyDescent="0.2">
      <c r="B9" s="212" t="s">
        <v>510</v>
      </c>
      <c r="C9" s="213">
        <v>0.75</v>
      </c>
      <c r="D9" s="214">
        <v>0.75</v>
      </c>
      <c r="E9" s="214">
        <v>0.75</v>
      </c>
      <c r="F9" s="214">
        <v>0.75</v>
      </c>
      <c r="G9" s="214">
        <v>0.75</v>
      </c>
      <c r="H9" s="214">
        <v>0.75</v>
      </c>
      <c r="I9" s="214">
        <v>0.75</v>
      </c>
      <c r="J9" s="215">
        <f>SUM(C9:I9)</f>
        <v>5.25</v>
      </c>
      <c r="K9" s="216">
        <f>SUM(C9:I9)</f>
        <v>5.25</v>
      </c>
      <c r="L9" s="278">
        <v>138.6</v>
      </c>
      <c r="M9" s="279">
        <f>K9*L9</f>
        <v>727.65</v>
      </c>
      <c r="N9">
        <v>58.7</v>
      </c>
      <c r="O9" s="202">
        <f>N9*K9*1.1</f>
        <v>338.99250000000006</v>
      </c>
      <c r="Q9" s="259" t="s">
        <v>552</v>
      </c>
      <c r="R9" s="259">
        <f>36.36/1000</f>
        <v>3.6359999999999996E-2</v>
      </c>
      <c r="S9" s="259">
        <f>36.91/1000</f>
        <v>3.6909999999999998E-2</v>
      </c>
      <c r="T9" s="259">
        <f>37.46/1000</f>
        <v>3.746E-2</v>
      </c>
      <c r="U9" s="259">
        <f>38.02/1000</f>
        <v>3.8020000000000005E-2</v>
      </c>
      <c r="V9" s="259">
        <f>38.59/1000</f>
        <v>3.8590000000000006E-2</v>
      </c>
      <c r="W9" s="259">
        <f>39.17/1000</f>
        <v>3.9170000000000003E-2</v>
      </c>
      <c r="X9" s="259">
        <f t="shared" si="1"/>
        <v>3.9757550000000003E-2</v>
      </c>
      <c r="Y9" s="259">
        <f t="shared" si="1"/>
        <v>4.0353913249999998E-2</v>
      </c>
      <c r="Z9" s="259"/>
      <c r="AE9" s="286"/>
      <c r="AF9" s="280" t="s">
        <v>507</v>
      </c>
    </row>
    <row r="10" spans="2:32" x14ac:dyDescent="0.2">
      <c r="B10" s="212" t="s">
        <v>511</v>
      </c>
      <c r="C10" s="217">
        <v>0.2</v>
      </c>
      <c r="D10" s="218">
        <v>0.2</v>
      </c>
      <c r="E10" s="218">
        <v>0.5</v>
      </c>
      <c r="F10" s="218">
        <v>0.1</v>
      </c>
      <c r="G10" s="218">
        <v>0.1</v>
      </c>
      <c r="H10" s="218">
        <v>0</v>
      </c>
      <c r="I10" s="218">
        <v>0</v>
      </c>
      <c r="J10" s="219">
        <f>SUM(C10:I10)</f>
        <v>1.1000000000000001</v>
      </c>
      <c r="K10" s="216">
        <f t="shared" ref="K10:K28" si="2">SUM(C10:I10)</f>
        <v>1.1000000000000001</v>
      </c>
      <c r="L10" s="278">
        <v>138.6</v>
      </c>
      <c r="M10" s="279">
        <f t="shared" ref="M10:M28" si="3">K10*L10</f>
        <v>152.46</v>
      </c>
      <c r="N10">
        <v>58.7</v>
      </c>
      <c r="O10" s="202">
        <f t="shared" ref="O10:O28" si="4">N10*K10*1.1</f>
        <v>71.027000000000015</v>
      </c>
      <c r="Q10" s="259" t="s">
        <v>553</v>
      </c>
      <c r="R10" s="259">
        <f>28.6/1000</f>
        <v>2.86E-2</v>
      </c>
      <c r="S10" s="259">
        <f>29.02/1000</f>
        <v>2.9020000000000001E-2</v>
      </c>
      <c r="T10" s="259">
        <f>29.46/1000</f>
        <v>2.946E-2</v>
      </c>
      <c r="U10" s="259">
        <f>29.9/1000</f>
        <v>2.9899999999999999E-2</v>
      </c>
      <c r="V10" s="259">
        <f>30.35/1000</f>
        <v>3.0350000000000002E-2</v>
      </c>
      <c r="W10" s="259">
        <f>30.81/1000</f>
        <v>3.0809999999999997E-2</v>
      </c>
      <c r="X10" s="259">
        <f t="shared" si="1"/>
        <v>3.1272149999999992E-2</v>
      </c>
      <c r="Y10" s="259">
        <f t="shared" si="1"/>
        <v>3.1741232249999987E-2</v>
      </c>
      <c r="Z10" s="259"/>
      <c r="AE10" s="287" t="s">
        <v>508</v>
      </c>
      <c r="AF10" s="281"/>
    </row>
    <row r="11" spans="2:32" ht="16" thickBot="1" x14ac:dyDescent="0.25">
      <c r="B11" s="220" t="s">
        <v>512</v>
      </c>
      <c r="C11" s="221">
        <v>0.2</v>
      </c>
      <c r="D11" s="222">
        <v>0.75</v>
      </c>
      <c r="E11" s="222">
        <v>0.75</v>
      </c>
      <c r="F11" s="222">
        <v>1</v>
      </c>
      <c r="G11" s="222">
        <v>1</v>
      </c>
      <c r="H11" s="222">
        <v>0.4</v>
      </c>
      <c r="I11" s="222">
        <v>0.1</v>
      </c>
      <c r="J11" s="223">
        <f>SUM(C11:I11)</f>
        <v>4.2</v>
      </c>
      <c r="K11" s="216">
        <f t="shared" si="2"/>
        <v>4.2</v>
      </c>
      <c r="L11" s="278">
        <v>97.2</v>
      </c>
      <c r="M11" s="279">
        <f t="shared" si="3"/>
        <v>408.24</v>
      </c>
      <c r="N11">
        <v>46.18</v>
      </c>
      <c r="O11" s="202">
        <f t="shared" si="4"/>
        <v>213.35160000000005</v>
      </c>
      <c r="Q11" s="259" t="s">
        <v>554</v>
      </c>
      <c r="R11" s="259">
        <f>22.37/1000</f>
        <v>2.2370000000000001E-2</v>
      </c>
      <c r="S11" s="259">
        <f>22.7/1000</f>
        <v>2.2699999999999998E-2</v>
      </c>
      <c r="T11" s="259">
        <f>23.05/1000</f>
        <v>2.3050000000000001E-2</v>
      </c>
      <c r="U11" s="259">
        <f>23.39/1000</f>
        <v>2.3390000000000001E-2</v>
      </c>
      <c r="V11" s="259">
        <f>23.74/1000</f>
        <v>2.3739999999999997E-2</v>
      </c>
      <c r="W11" s="259">
        <f>24.1/1000</f>
        <v>2.41E-2</v>
      </c>
      <c r="X11" s="259">
        <f t="shared" si="1"/>
        <v>2.4461499999999997E-2</v>
      </c>
      <c r="Y11" s="259">
        <f t="shared" si="1"/>
        <v>2.4828422499999996E-2</v>
      </c>
      <c r="Z11" s="259"/>
      <c r="AE11" s="288" t="s">
        <v>509</v>
      </c>
      <c r="AF11" s="282"/>
    </row>
    <row r="12" spans="2:32" ht="16" thickBot="1" x14ac:dyDescent="0.25">
      <c r="B12" s="224" t="s">
        <v>513</v>
      </c>
      <c r="C12" s="338"/>
      <c r="D12" s="338"/>
      <c r="E12" s="338"/>
      <c r="F12" s="338"/>
      <c r="G12" s="338"/>
      <c r="H12" s="338"/>
      <c r="I12" s="338"/>
      <c r="J12" s="339"/>
      <c r="Q12" s="259" t="s">
        <v>555</v>
      </c>
      <c r="R12" s="259">
        <f>19.1/1000</f>
        <v>1.9100000000000002E-2</v>
      </c>
      <c r="S12" s="259">
        <f>19.39/1000</f>
        <v>1.9390000000000001E-2</v>
      </c>
      <c r="T12" s="259">
        <f>19.68/1000</f>
        <v>1.968E-2</v>
      </c>
      <c r="U12" s="259">
        <f>19.97/1000</f>
        <v>1.9969999999999998E-2</v>
      </c>
      <c r="V12" s="259">
        <f>20.27/1000</f>
        <v>2.027E-2</v>
      </c>
      <c r="W12" s="259">
        <f>20.58/1000</f>
        <v>2.0579999999999998E-2</v>
      </c>
      <c r="X12" s="259">
        <f t="shared" si="1"/>
        <v>2.0888699999999996E-2</v>
      </c>
      <c r="Y12" s="259">
        <f t="shared" si="1"/>
        <v>2.1202030499999993E-2</v>
      </c>
      <c r="Z12" s="259"/>
      <c r="AE12" s="258" t="s">
        <v>510</v>
      </c>
      <c r="AF12" s="283">
        <v>4.6166666666666671</v>
      </c>
    </row>
    <row r="13" spans="2:32" ht="16" thickBot="1" x14ac:dyDescent="0.25">
      <c r="B13" s="225" t="s">
        <v>514</v>
      </c>
      <c r="C13" s="226">
        <v>0</v>
      </c>
      <c r="D13" s="227">
        <v>0.2</v>
      </c>
      <c r="E13" s="227">
        <v>0.2</v>
      </c>
      <c r="F13" s="227">
        <v>0.5</v>
      </c>
      <c r="G13" s="227">
        <v>0.2</v>
      </c>
      <c r="H13" s="227">
        <v>0.2</v>
      </c>
      <c r="I13" s="227">
        <v>0</v>
      </c>
      <c r="J13" s="228">
        <f>SUM(C13:I13)</f>
        <v>1.3</v>
      </c>
      <c r="K13" s="216">
        <f t="shared" si="2"/>
        <v>1.3</v>
      </c>
      <c r="L13" s="278">
        <v>97.2</v>
      </c>
      <c r="M13" s="279">
        <f t="shared" si="3"/>
        <v>126.36000000000001</v>
      </c>
      <c r="N13">
        <v>46.18</v>
      </c>
      <c r="O13" s="202">
        <f t="shared" si="4"/>
        <v>66.037400000000005</v>
      </c>
      <c r="Q13" s="259"/>
      <c r="R13" s="259"/>
      <c r="S13" s="259"/>
      <c r="T13" s="259"/>
      <c r="U13" s="259"/>
      <c r="V13" s="259"/>
      <c r="W13" s="259"/>
      <c r="X13" s="259"/>
      <c r="Y13" s="259"/>
      <c r="Z13" s="259"/>
      <c r="AE13" s="258" t="s">
        <v>511</v>
      </c>
      <c r="AF13" s="283">
        <v>1.524455674561271</v>
      </c>
    </row>
    <row r="14" spans="2:32" ht="16" thickBot="1" x14ac:dyDescent="0.25">
      <c r="B14" s="229" t="s">
        <v>515</v>
      </c>
      <c r="C14" s="342"/>
      <c r="D14" s="342"/>
      <c r="E14" s="342"/>
      <c r="F14" s="342"/>
      <c r="G14" s="342"/>
      <c r="H14" s="342"/>
      <c r="I14" s="342"/>
      <c r="J14" s="343"/>
      <c r="Q14" s="259"/>
      <c r="R14" s="259"/>
      <c r="S14" s="259"/>
      <c r="T14" s="259"/>
      <c r="U14" s="259"/>
      <c r="V14" s="259"/>
      <c r="W14" s="259"/>
      <c r="X14" s="259"/>
      <c r="Y14" s="259"/>
      <c r="Z14" s="259"/>
      <c r="AE14" s="258" t="s">
        <v>512</v>
      </c>
      <c r="AF14" s="283">
        <v>3.8888105294916273</v>
      </c>
    </row>
    <row r="15" spans="2:32" x14ac:dyDescent="0.2">
      <c r="B15" s="230" t="s">
        <v>516</v>
      </c>
      <c r="C15" s="213">
        <v>0.05</v>
      </c>
      <c r="D15" s="214">
        <v>0.05</v>
      </c>
      <c r="E15" s="214">
        <v>0.05</v>
      </c>
      <c r="F15" s="214">
        <v>0.05</v>
      </c>
      <c r="G15" s="214">
        <v>0.04</v>
      </c>
      <c r="H15" s="214">
        <v>0.04</v>
      </c>
      <c r="I15" s="214">
        <v>0.04</v>
      </c>
      <c r="J15" s="215">
        <f>SUM(C15:I15)</f>
        <v>0.32</v>
      </c>
      <c r="K15" s="216">
        <f t="shared" si="2"/>
        <v>0.32</v>
      </c>
      <c r="L15" s="278">
        <v>162</v>
      </c>
      <c r="M15" s="279">
        <f t="shared" si="3"/>
        <v>51.84</v>
      </c>
      <c r="N15">
        <v>89.16</v>
      </c>
      <c r="O15" s="202">
        <f t="shared" si="4"/>
        <v>31.384320000000002</v>
      </c>
      <c r="Q15" s="259"/>
      <c r="R15" s="259"/>
      <c r="S15" s="259"/>
      <c r="T15" s="259"/>
      <c r="U15" s="259"/>
      <c r="V15" s="259"/>
      <c r="W15" s="259"/>
      <c r="X15" s="259"/>
      <c r="Y15" s="259"/>
      <c r="Z15" s="259"/>
      <c r="AE15" s="258" t="s">
        <v>577</v>
      </c>
      <c r="AF15" s="283">
        <v>6.6877859908482926E-2</v>
      </c>
    </row>
    <row r="16" spans="2:32" x14ac:dyDescent="0.2">
      <c r="B16" s="230" t="s">
        <v>517</v>
      </c>
      <c r="C16" s="217">
        <v>0.3</v>
      </c>
      <c r="D16" s="218">
        <v>0.4</v>
      </c>
      <c r="E16" s="218">
        <v>0.4</v>
      </c>
      <c r="F16" s="218">
        <v>0.4</v>
      </c>
      <c r="G16" s="218">
        <v>0.4</v>
      </c>
      <c r="H16" s="218">
        <v>0.2</v>
      </c>
      <c r="I16" s="218">
        <v>0.2</v>
      </c>
      <c r="J16" s="219">
        <f>SUM(C16:I16)</f>
        <v>2.3000000000000003</v>
      </c>
      <c r="K16" s="216">
        <f t="shared" si="2"/>
        <v>2.3000000000000003</v>
      </c>
      <c r="L16" s="278">
        <v>162</v>
      </c>
      <c r="M16" s="279">
        <f t="shared" si="3"/>
        <v>372.6</v>
      </c>
      <c r="N16">
        <v>72.459999999999994</v>
      </c>
      <c r="O16" s="202">
        <f t="shared" si="4"/>
        <v>183.32380000000003</v>
      </c>
      <c r="Q16" s="259"/>
      <c r="R16" s="259" t="s">
        <v>556</v>
      </c>
      <c r="S16" s="259"/>
      <c r="T16" s="259"/>
      <c r="U16" s="259"/>
      <c r="V16" s="259"/>
      <c r="W16" s="259"/>
      <c r="X16" s="259"/>
      <c r="Y16" s="259"/>
      <c r="Z16" s="259"/>
      <c r="AE16" s="289" t="s">
        <v>513</v>
      </c>
      <c r="AF16" s="283"/>
    </row>
    <row r="17" spans="2:32" ht="16" thickBot="1" x14ac:dyDescent="0.25">
      <c r="B17" s="225" t="s">
        <v>518</v>
      </c>
      <c r="C17" s="221">
        <v>0.1</v>
      </c>
      <c r="D17" s="222">
        <v>0.1</v>
      </c>
      <c r="E17" s="222">
        <v>0.1</v>
      </c>
      <c r="F17" s="222">
        <v>0.1</v>
      </c>
      <c r="G17" s="222">
        <v>0.05</v>
      </c>
      <c r="H17" s="222">
        <v>0.03</v>
      </c>
      <c r="I17" s="222">
        <v>0.02</v>
      </c>
      <c r="J17" s="223">
        <f>SUM(C17:I17)</f>
        <v>0.5</v>
      </c>
      <c r="K17" s="216">
        <f>SUM(C17:I17)</f>
        <v>0.5</v>
      </c>
      <c r="L17" s="278">
        <v>162</v>
      </c>
      <c r="M17" s="279">
        <f t="shared" si="3"/>
        <v>81</v>
      </c>
      <c r="N17">
        <v>46.18</v>
      </c>
      <c r="O17" s="202">
        <f t="shared" si="4"/>
        <v>25.399000000000001</v>
      </c>
      <c r="Q17" s="259"/>
      <c r="R17" s="259" t="s">
        <v>541</v>
      </c>
      <c r="S17" s="259" t="s">
        <v>542</v>
      </c>
      <c r="T17" s="259" t="s">
        <v>543</v>
      </c>
      <c r="U17" s="259" t="s">
        <v>544</v>
      </c>
      <c r="V17" s="259" t="s">
        <v>545</v>
      </c>
      <c r="W17" s="259" t="s">
        <v>546</v>
      </c>
      <c r="X17" s="259" t="s">
        <v>547</v>
      </c>
      <c r="Y17" s="259"/>
      <c r="Z17" s="259"/>
      <c r="AE17" s="257" t="s">
        <v>578</v>
      </c>
      <c r="AF17" s="283">
        <v>1.3083333333333333</v>
      </c>
    </row>
    <row r="18" spans="2:32" ht="16" thickBot="1" x14ac:dyDescent="0.25">
      <c r="B18" s="229" t="s">
        <v>438</v>
      </c>
      <c r="C18" s="338"/>
      <c r="D18" s="338"/>
      <c r="E18" s="338"/>
      <c r="F18" s="338"/>
      <c r="G18" s="338"/>
      <c r="H18" s="338"/>
      <c r="I18" s="338"/>
      <c r="J18" s="339"/>
      <c r="Q18" s="260"/>
      <c r="R18" s="261"/>
      <c r="S18" s="261"/>
      <c r="T18" s="261"/>
      <c r="U18" s="261"/>
      <c r="V18" s="261"/>
      <c r="W18" s="261"/>
      <c r="X18" s="261"/>
      <c r="Y18" s="261"/>
      <c r="Z18" s="261"/>
      <c r="AE18" s="257" t="s">
        <v>512</v>
      </c>
      <c r="AF18" s="283">
        <v>9.1957057374164014E-2</v>
      </c>
    </row>
    <row r="19" spans="2:32" x14ac:dyDescent="0.2">
      <c r="B19" s="230" t="s">
        <v>519</v>
      </c>
      <c r="C19" s="213">
        <v>0.05</v>
      </c>
      <c r="D19" s="214">
        <v>0.1</v>
      </c>
      <c r="E19" s="214">
        <v>0.1</v>
      </c>
      <c r="F19" s="214">
        <v>0.1</v>
      </c>
      <c r="G19" s="214">
        <v>0.1</v>
      </c>
      <c r="H19" s="214">
        <v>0.1</v>
      </c>
      <c r="I19" s="214">
        <v>0.1</v>
      </c>
      <c r="J19" s="215">
        <f>SUM(C19:I19)</f>
        <v>0.64999999999999991</v>
      </c>
      <c r="K19" s="216">
        <f t="shared" si="2"/>
        <v>0.64999999999999991</v>
      </c>
      <c r="L19" s="278">
        <v>124.74</v>
      </c>
      <c r="M19" s="279">
        <f t="shared" si="3"/>
        <v>81.080999999999989</v>
      </c>
      <c r="N19">
        <v>72.459999999999994</v>
      </c>
      <c r="O19" s="202">
        <f t="shared" si="4"/>
        <v>51.808899999999994</v>
      </c>
      <c r="Q19" s="262" t="s">
        <v>516</v>
      </c>
      <c r="R19" s="263" t="s">
        <v>557</v>
      </c>
      <c r="S19" s="263">
        <v>87.840999999999994</v>
      </c>
      <c r="T19" s="305">
        <v>89.159000000000006</v>
      </c>
      <c r="U19" s="263">
        <v>90.495999999999995</v>
      </c>
      <c r="V19" s="263">
        <v>91.852999999999994</v>
      </c>
      <c r="W19" s="263">
        <v>93.230999999999995</v>
      </c>
      <c r="X19" s="263">
        <v>94.629000000000005</v>
      </c>
      <c r="Y19" s="263"/>
      <c r="Z19" s="263"/>
      <c r="AE19" s="289" t="s">
        <v>515</v>
      </c>
      <c r="AF19" s="283"/>
    </row>
    <row r="20" spans="2:32" ht="16" thickBot="1" x14ac:dyDescent="0.25">
      <c r="B20" s="225" t="s">
        <v>520</v>
      </c>
      <c r="C20" s="221">
        <v>0.1</v>
      </c>
      <c r="D20" s="222">
        <v>0.3</v>
      </c>
      <c r="E20" s="222">
        <v>0.3</v>
      </c>
      <c r="F20" s="222">
        <v>0.15</v>
      </c>
      <c r="G20" s="222">
        <v>0.2</v>
      </c>
      <c r="H20" s="222">
        <v>0.3</v>
      </c>
      <c r="I20" s="222">
        <v>0.15</v>
      </c>
      <c r="J20" s="223">
        <f>SUM(C20:I20)</f>
        <v>1.5</v>
      </c>
      <c r="K20" s="216">
        <f t="shared" si="2"/>
        <v>1.5</v>
      </c>
      <c r="L20" s="278">
        <v>97.2</v>
      </c>
      <c r="M20" s="279">
        <f t="shared" si="3"/>
        <v>145.80000000000001</v>
      </c>
      <c r="N20">
        <v>58.72</v>
      </c>
      <c r="O20" s="202">
        <f t="shared" si="4"/>
        <v>96.888000000000005</v>
      </c>
      <c r="Q20" s="262" t="s">
        <v>558</v>
      </c>
      <c r="R20" s="263" t="s">
        <v>559</v>
      </c>
      <c r="S20" s="263">
        <v>71.385000000000005</v>
      </c>
      <c r="T20" s="305">
        <v>72.456000000000003</v>
      </c>
      <c r="U20" s="263">
        <v>73.543000000000006</v>
      </c>
      <c r="V20" s="263">
        <v>74.646000000000001</v>
      </c>
      <c r="W20" s="263">
        <v>75.766000000000005</v>
      </c>
      <c r="X20" s="263">
        <v>76.902000000000001</v>
      </c>
      <c r="Y20" s="263"/>
      <c r="Z20" s="263"/>
      <c r="AE20" s="257" t="s">
        <v>516</v>
      </c>
      <c r="AF20" s="283">
        <v>0.31666666666666682</v>
      </c>
    </row>
    <row r="21" spans="2:32" x14ac:dyDescent="0.2">
      <c r="B21" s="229" t="s">
        <v>454</v>
      </c>
      <c r="C21" s="344"/>
      <c r="D21" s="344"/>
      <c r="E21" s="344"/>
      <c r="F21" s="344"/>
      <c r="G21" s="344"/>
      <c r="H21" s="344"/>
      <c r="I21" s="344"/>
      <c r="J21" s="345"/>
      <c r="Q21" s="264" t="s">
        <v>560</v>
      </c>
      <c r="R21" s="263" t="s">
        <v>402</v>
      </c>
      <c r="S21" s="263">
        <v>57.85</v>
      </c>
      <c r="T21" s="305">
        <v>58.718000000000004</v>
      </c>
      <c r="U21" s="263">
        <v>59.598999999999997</v>
      </c>
      <c r="V21" s="263">
        <v>60.493000000000002</v>
      </c>
      <c r="W21" s="263">
        <v>61.4</v>
      </c>
      <c r="X21" s="263">
        <v>62.320999999999998</v>
      </c>
      <c r="Y21" s="263"/>
      <c r="Z21" s="263"/>
      <c r="AE21" s="257" t="s">
        <v>517</v>
      </c>
      <c r="AF21" s="283">
        <v>1.9583333333333333</v>
      </c>
    </row>
    <row r="22" spans="2:32" ht="16" thickBot="1" x14ac:dyDescent="0.25">
      <c r="B22" s="225" t="s">
        <v>521</v>
      </c>
      <c r="C22" s="221"/>
      <c r="D22" s="222"/>
      <c r="E22" s="222"/>
      <c r="F22" s="222"/>
      <c r="G22" s="222">
        <v>0.25</v>
      </c>
      <c r="H22" s="222">
        <v>0.5</v>
      </c>
      <c r="I22" s="222">
        <v>0.25</v>
      </c>
      <c r="J22" s="223">
        <f>SUM(G22:I22)</f>
        <v>1</v>
      </c>
      <c r="K22" s="216">
        <f t="shared" si="2"/>
        <v>1</v>
      </c>
      <c r="L22" s="278">
        <v>97.2</v>
      </c>
      <c r="M22" s="279">
        <f t="shared" si="3"/>
        <v>97.2</v>
      </c>
      <c r="N22">
        <v>36.119999999999997</v>
      </c>
      <c r="O22" s="202">
        <f t="shared" si="4"/>
        <v>39.731999999999999</v>
      </c>
      <c r="Q22" s="264" t="s">
        <v>561</v>
      </c>
      <c r="R22" s="263" t="s">
        <v>562</v>
      </c>
      <c r="S22" s="263">
        <v>45.494999999999997</v>
      </c>
      <c r="T22" s="305">
        <v>46.177</v>
      </c>
      <c r="U22" s="263">
        <v>46.87</v>
      </c>
      <c r="V22" s="263">
        <v>47.573</v>
      </c>
      <c r="W22" s="263">
        <v>48.286999999999999</v>
      </c>
      <c r="X22" s="263">
        <v>49.011000000000003</v>
      </c>
      <c r="Y22" s="263"/>
      <c r="Z22" s="263"/>
      <c r="AE22" s="257" t="s">
        <v>518</v>
      </c>
      <c r="AF22" s="283">
        <v>0.62747397797556226</v>
      </c>
    </row>
    <row r="23" spans="2:32" ht="16" thickBot="1" x14ac:dyDescent="0.25">
      <c r="B23" s="229" t="s">
        <v>522</v>
      </c>
      <c r="C23" s="338"/>
      <c r="D23" s="338"/>
      <c r="E23" s="338"/>
      <c r="F23" s="338"/>
      <c r="G23" s="338"/>
      <c r="H23" s="338"/>
      <c r="I23" s="338"/>
      <c r="J23" s="339"/>
      <c r="Q23" s="262" t="s">
        <v>521</v>
      </c>
      <c r="R23" s="265" t="s">
        <v>563</v>
      </c>
      <c r="S23" s="265">
        <v>35.588999999999999</v>
      </c>
      <c r="T23" s="306">
        <v>36.122999999999998</v>
      </c>
      <c r="U23" s="265">
        <v>36.664999999999999</v>
      </c>
      <c r="V23" s="265">
        <v>37.215000000000003</v>
      </c>
      <c r="W23" s="265">
        <v>37.773000000000003</v>
      </c>
      <c r="X23" s="265">
        <v>38.340000000000003</v>
      </c>
      <c r="Y23" s="265"/>
      <c r="Z23" s="265"/>
      <c r="AE23" s="289" t="s">
        <v>438</v>
      </c>
      <c r="AF23" s="283"/>
    </row>
    <row r="24" spans="2:32" x14ac:dyDescent="0.2">
      <c r="B24" s="230" t="s">
        <v>523</v>
      </c>
      <c r="C24" s="213">
        <v>0.3</v>
      </c>
      <c r="D24" s="214">
        <v>0.3</v>
      </c>
      <c r="E24" s="214">
        <v>0.3</v>
      </c>
      <c r="F24" s="214">
        <v>0.2</v>
      </c>
      <c r="G24" s="214">
        <v>0.2</v>
      </c>
      <c r="H24" s="214">
        <v>0.2</v>
      </c>
      <c r="I24" s="214">
        <v>0.3</v>
      </c>
      <c r="J24" s="215">
        <f>SUM(C24:I24)</f>
        <v>1.7999999999999998</v>
      </c>
      <c r="K24" s="216">
        <f t="shared" si="2"/>
        <v>1.7999999999999998</v>
      </c>
      <c r="L24" s="278">
        <v>124.74</v>
      </c>
      <c r="M24" s="279">
        <f t="shared" si="3"/>
        <v>224.53199999999998</v>
      </c>
      <c r="N24">
        <v>72.459999999999994</v>
      </c>
      <c r="O24" s="202">
        <f t="shared" si="4"/>
        <v>143.47079999999997</v>
      </c>
      <c r="Q24" s="266"/>
      <c r="R24" s="263" t="s">
        <v>564</v>
      </c>
      <c r="S24" s="263">
        <v>30.388000000000002</v>
      </c>
      <c r="T24" s="263">
        <v>30.844000000000001</v>
      </c>
      <c r="U24" s="263">
        <v>3.3069999999999999</v>
      </c>
      <c r="V24" s="263">
        <v>31.777000000000001</v>
      </c>
      <c r="W24" s="263">
        <v>32.253999999999998</v>
      </c>
      <c r="X24" s="263">
        <v>32.738</v>
      </c>
      <c r="Y24" s="263"/>
      <c r="Z24" s="263"/>
      <c r="AE24" s="257" t="s">
        <v>519</v>
      </c>
      <c r="AF24" s="283">
        <v>0.15085231558304421</v>
      </c>
    </row>
    <row r="25" spans="2:32" ht="16" thickBot="1" x14ac:dyDescent="0.25">
      <c r="B25" s="225" t="s">
        <v>524</v>
      </c>
      <c r="C25" s="221">
        <v>0.6</v>
      </c>
      <c r="D25" s="222">
        <v>0.6</v>
      </c>
      <c r="E25" s="222">
        <v>0.6</v>
      </c>
      <c r="F25" s="222">
        <v>0.4</v>
      </c>
      <c r="G25" s="222">
        <v>0.4</v>
      </c>
      <c r="H25" s="222">
        <v>0.4</v>
      </c>
      <c r="I25" s="222">
        <v>0.4</v>
      </c>
      <c r="J25" s="223">
        <f>SUM(C25:I25)</f>
        <v>3.3999999999999995</v>
      </c>
      <c r="K25" s="216">
        <f t="shared" si="2"/>
        <v>3.3999999999999995</v>
      </c>
      <c r="L25" s="278">
        <v>97.2</v>
      </c>
      <c r="M25" s="279">
        <f t="shared" si="3"/>
        <v>330.47999999999996</v>
      </c>
      <c r="N25">
        <v>58.72</v>
      </c>
      <c r="O25" s="202">
        <f t="shared" si="4"/>
        <v>219.61279999999999</v>
      </c>
      <c r="Q25" s="266"/>
      <c r="R25" s="263" t="s">
        <v>565</v>
      </c>
      <c r="S25" s="263">
        <v>19.245999999999999</v>
      </c>
      <c r="T25" s="263">
        <v>19.535</v>
      </c>
      <c r="U25" s="263">
        <v>19.827999999999999</v>
      </c>
      <c r="V25" s="263">
        <v>20.125</v>
      </c>
      <c r="W25" s="263">
        <v>20.427</v>
      </c>
      <c r="X25" s="263">
        <v>20.733000000000001</v>
      </c>
      <c r="Y25" s="263"/>
      <c r="Z25" s="263"/>
      <c r="AE25" s="257" t="s">
        <v>520</v>
      </c>
      <c r="AF25" s="283">
        <v>0.67980590335394975</v>
      </c>
    </row>
    <row r="26" spans="2:32" ht="16" thickBot="1" x14ac:dyDescent="0.25">
      <c r="B26" s="229" t="s">
        <v>525</v>
      </c>
      <c r="C26" s="338"/>
      <c r="D26" s="338"/>
      <c r="E26" s="338"/>
      <c r="F26" s="338"/>
      <c r="G26" s="338"/>
      <c r="H26" s="338"/>
      <c r="I26" s="338"/>
      <c r="J26" s="339"/>
      <c r="Q26" s="267"/>
      <c r="R26" s="265"/>
      <c r="S26" s="265"/>
      <c r="T26" s="265"/>
      <c r="U26" s="265"/>
      <c r="V26" s="265"/>
      <c r="W26" s="265"/>
      <c r="X26" s="265"/>
      <c r="Y26" s="265"/>
      <c r="Z26" s="265"/>
      <c r="AE26" s="289" t="s">
        <v>454</v>
      </c>
      <c r="AF26" s="283"/>
    </row>
    <row r="27" spans="2:32" x14ac:dyDescent="0.2">
      <c r="B27" s="230" t="s">
        <v>526</v>
      </c>
      <c r="C27" s="213"/>
      <c r="D27" s="214">
        <v>0.05</v>
      </c>
      <c r="E27" s="214">
        <v>0.1</v>
      </c>
      <c r="F27" s="214">
        <v>0.5</v>
      </c>
      <c r="G27" s="214">
        <v>0.75</v>
      </c>
      <c r="H27" s="214">
        <v>0.5</v>
      </c>
      <c r="I27" s="214"/>
      <c r="J27" s="215">
        <f>SUM(C27:I27)</f>
        <v>1.9</v>
      </c>
      <c r="K27" s="216">
        <f t="shared" si="2"/>
        <v>1.9</v>
      </c>
      <c r="L27" s="278">
        <v>97.2</v>
      </c>
      <c r="M27" s="279">
        <f t="shared" si="3"/>
        <v>184.68</v>
      </c>
      <c r="N27">
        <v>58.72</v>
      </c>
      <c r="O27" s="202">
        <f t="shared" si="4"/>
        <v>122.7248</v>
      </c>
      <c r="Q27" s="266"/>
      <c r="R27" s="263"/>
      <c r="S27" s="263"/>
      <c r="T27" s="263"/>
      <c r="U27" s="263"/>
      <c r="V27" s="263"/>
      <c r="W27" s="263"/>
      <c r="X27" s="263"/>
      <c r="Y27" s="263"/>
      <c r="Z27" s="263"/>
      <c r="AE27" s="257" t="s">
        <v>521</v>
      </c>
      <c r="AF27" s="283">
        <v>0.99999999999999989</v>
      </c>
    </row>
    <row r="28" spans="2:32" ht="16" thickBot="1" x14ac:dyDescent="0.25">
      <c r="B28" s="225" t="s">
        <v>527</v>
      </c>
      <c r="C28" s="221"/>
      <c r="D28" s="222"/>
      <c r="E28" s="222">
        <v>0.1</v>
      </c>
      <c r="F28" s="222">
        <v>0.75</v>
      </c>
      <c r="G28" s="222">
        <v>0.75</v>
      </c>
      <c r="H28" s="222"/>
      <c r="I28" s="222"/>
      <c r="J28" s="223">
        <f>SUM(E28:I28)</f>
        <v>1.6</v>
      </c>
      <c r="K28" s="216">
        <f t="shared" si="2"/>
        <v>1.6</v>
      </c>
      <c r="L28" s="278">
        <v>77.760000000000005</v>
      </c>
      <c r="M28" s="279">
        <f t="shared" si="3"/>
        <v>124.41600000000001</v>
      </c>
      <c r="N28">
        <v>46.18</v>
      </c>
      <c r="O28" s="202">
        <f t="shared" si="4"/>
        <v>81.276800000000009</v>
      </c>
      <c r="Q28" s="266"/>
      <c r="R28" s="263"/>
      <c r="S28" s="263"/>
      <c r="T28" s="263"/>
      <c r="U28" s="263"/>
      <c r="V28" s="263"/>
      <c r="W28" s="263"/>
      <c r="X28" s="263"/>
      <c r="Y28" s="263"/>
      <c r="Z28" s="263"/>
      <c r="AE28" s="289" t="s">
        <v>522</v>
      </c>
      <c r="AF28" s="283"/>
    </row>
    <row r="29" spans="2:32" ht="16" thickBot="1" x14ac:dyDescent="0.25">
      <c r="B29" s="231" t="s">
        <v>528</v>
      </c>
      <c r="C29" s="209"/>
      <c r="D29" s="209"/>
      <c r="E29" s="209"/>
      <c r="F29" s="209"/>
      <c r="G29" s="209"/>
      <c r="H29" s="209"/>
      <c r="I29" s="209"/>
      <c r="J29" s="232">
        <f>SUM(J9:J28)</f>
        <v>26.820000000000004</v>
      </c>
      <c r="K29" s="233">
        <f>SUM(K9:K28)</f>
        <v>26.820000000000004</v>
      </c>
      <c r="M29" s="233">
        <f>SUM(M9:M28)</f>
        <v>3108.3389999999999</v>
      </c>
      <c r="Q29" s="266"/>
      <c r="R29" s="263"/>
      <c r="S29" s="263"/>
      <c r="T29" s="263"/>
      <c r="U29" s="263"/>
      <c r="V29" s="263"/>
      <c r="W29" s="263"/>
      <c r="X29" s="263"/>
      <c r="Y29" s="263"/>
      <c r="Z29" s="263"/>
      <c r="AE29" s="257" t="s">
        <v>579</v>
      </c>
      <c r="AF29" s="283">
        <v>1.1688565394478805</v>
      </c>
    </row>
    <row r="30" spans="2:32" ht="16" thickBot="1" x14ac:dyDescent="0.25">
      <c r="B30" s="234" t="s">
        <v>586</v>
      </c>
      <c r="C30" s="64"/>
      <c r="D30" s="64"/>
      <c r="E30" s="64"/>
      <c r="F30" s="64"/>
      <c r="G30" s="64"/>
      <c r="H30" s="64"/>
      <c r="I30" s="64"/>
      <c r="J30"/>
      <c r="O30" s="292">
        <f>SUM(O9:O28)</f>
        <v>1685.0297200000005</v>
      </c>
      <c r="Q30" s="267"/>
      <c r="R30" s="265"/>
      <c r="S30" s="265"/>
      <c r="T30" s="265"/>
      <c r="U30" s="265"/>
      <c r="V30" s="265"/>
      <c r="W30" s="265"/>
      <c r="X30" s="265"/>
      <c r="Y30" s="265"/>
      <c r="Z30" s="265"/>
      <c r="AE30" s="257" t="s">
        <v>524</v>
      </c>
      <c r="AF30" s="283">
        <v>4.5</v>
      </c>
    </row>
    <row r="31" spans="2:32" ht="19" x14ac:dyDescent="0.2">
      <c r="C31" s="1">
        <f t="shared" ref="C31:I31" si="5">SUM(C9:C28)</f>
        <v>2.6500000000000004</v>
      </c>
      <c r="D31" s="1">
        <f t="shared" si="5"/>
        <v>3.8</v>
      </c>
      <c r="E31" s="1">
        <f t="shared" si="5"/>
        <v>4.2499999999999991</v>
      </c>
      <c r="F31" s="1">
        <f t="shared" si="5"/>
        <v>5</v>
      </c>
      <c r="G31" s="1">
        <f t="shared" si="5"/>
        <v>5.19</v>
      </c>
      <c r="H31" s="1">
        <f t="shared" si="5"/>
        <v>3.62</v>
      </c>
      <c r="I31" s="1">
        <f t="shared" si="5"/>
        <v>2.31</v>
      </c>
      <c r="J31" s="1">
        <f>SUM(C31:I31)</f>
        <v>26.82</v>
      </c>
      <c r="K31" s="249">
        <f>O30</f>
        <v>1685.0297200000005</v>
      </c>
      <c r="Q31" s="266"/>
      <c r="R31" s="263"/>
      <c r="S31" s="263"/>
      <c r="T31" s="263"/>
      <c r="U31" s="263"/>
      <c r="V31" s="263"/>
      <c r="W31" s="263"/>
      <c r="X31" s="263"/>
      <c r="Y31" s="263"/>
      <c r="Z31" s="263"/>
      <c r="AE31" s="289" t="s">
        <v>525</v>
      </c>
      <c r="AF31" s="283"/>
    </row>
    <row r="32" spans="2:32" x14ac:dyDescent="0.2">
      <c r="Q32" s="266"/>
      <c r="R32" s="263"/>
      <c r="S32" s="263"/>
      <c r="T32" s="263"/>
      <c r="U32" s="263"/>
      <c r="V32" s="263"/>
      <c r="W32" s="263"/>
      <c r="X32" s="263"/>
      <c r="Y32" s="263"/>
      <c r="Z32" s="263"/>
      <c r="AE32" s="257" t="s">
        <v>526</v>
      </c>
      <c r="AF32" s="283">
        <v>1.8933901543722031</v>
      </c>
    </row>
    <row r="33" spans="2:32" x14ac:dyDescent="0.2">
      <c r="Q33" s="267"/>
      <c r="R33" s="265"/>
      <c r="S33" s="265"/>
      <c r="T33" s="265"/>
      <c r="U33" s="265"/>
      <c r="V33" s="265"/>
      <c r="W33" s="265"/>
      <c r="X33" s="265"/>
      <c r="Y33" s="265"/>
      <c r="Z33" s="265"/>
      <c r="AE33" s="257" t="s">
        <v>580</v>
      </c>
      <c r="AF33" s="283">
        <v>1.2</v>
      </c>
    </row>
    <row r="34" spans="2:32" ht="31" x14ac:dyDescent="0.35">
      <c r="B34" s="205" t="s">
        <v>529</v>
      </c>
      <c r="J34" s="1" t="s">
        <v>540</v>
      </c>
      <c r="Q34" s="266"/>
      <c r="R34" s="263"/>
      <c r="S34" s="263"/>
      <c r="T34" s="263"/>
      <c r="U34" s="263"/>
      <c r="V34" s="263"/>
      <c r="W34" s="263"/>
      <c r="X34" s="263"/>
      <c r="Y34" s="263"/>
      <c r="Z34" s="263"/>
      <c r="AE34" s="290" t="s">
        <v>528</v>
      </c>
      <c r="AF34" s="284">
        <v>24.992480012068182</v>
      </c>
    </row>
    <row r="35" spans="2:32" ht="16" thickBot="1" x14ac:dyDescent="0.25">
      <c r="Q35" s="266"/>
      <c r="R35" s="263"/>
      <c r="S35" s="263"/>
      <c r="T35" s="263"/>
      <c r="U35" s="263"/>
      <c r="V35" s="263"/>
      <c r="W35" s="268"/>
      <c r="X35" s="268"/>
      <c r="Y35" s="268"/>
      <c r="Z35" s="268"/>
      <c r="AE35" s="291"/>
      <c r="AF35" s="285"/>
    </row>
    <row r="36" spans="2:32" x14ac:dyDescent="0.2">
      <c r="B36" s="235"/>
      <c r="C36" s="346">
        <v>2017</v>
      </c>
      <c r="D36" s="346">
        <f>C36+1</f>
        <v>2018</v>
      </c>
      <c r="E36" s="346">
        <f t="shared" ref="E36:I36" si="6">D36+1</f>
        <v>2019</v>
      </c>
      <c r="F36" s="346">
        <f t="shared" si="6"/>
        <v>2020</v>
      </c>
      <c r="G36" s="346">
        <f t="shared" si="6"/>
        <v>2021</v>
      </c>
      <c r="H36" s="346">
        <f t="shared" si="6"/>
        <v>2022</v>
      </c>
      <c r="I36" s="346">
        <f t="shared" si="6"/>
        <v>2023</v>
      </c>
      <c r="J36" s="348" t="s">
        <v>530</v>
      </c>
      <c r="Q36" s="266"/>
      <c r="R36" s="263"/>
      <c r="S36" s="263"/>
      <c r="T36" s="263"/>
      <c r="U36" s="263"/>
      <c r="V36" s="263"/>
      <c r="W36" s="259"/>
      <c r="X36" s="259"/>
      <c r="Y36" s="259"/>
      <c r="Z36" s="259"/>
    </row>
    <row r="37" spans="2:32" ht="16" thickBot="1" x14ac:dyDescent="0.25">
      <c r="B37" s="236" t="s">
        <v>531</v>
      </c>
      <c r="C37" s="347"/>
      <c r="D37" s="347"/>
      <c r="E37" s="347"/>
      <c r="F37" s="347"/>
      <c r="G37" s="347"/>
      <c r="H37" s="347"/>
      <c r="I37" s="347"/>
      <c r="J37" s="349"/>
      <c r="Q37" s="266"/>
      <c r="R37" s="263"/>
      <c r="S37" s="263"/>
      <c r="T37" s="263"/>
      <c r="U37" s="263"/>
      <c r="V37" s="263"/>
      <c r="W37" s="259"/>
      <c r="X37" s="259"/>
      <c r="Y37" s="259"/>
      <c r="Z37" s="259"/>
    </row>
    <row r="38" spans="2:32" x14ac:dyDescent="0.2">
      <c r="B38" s="237" t="s">
        <v>532</v>
      </c>
      <c r="C38" s="10">
        <v>6</v>
      </c>
      <c r="D38" s="10">
        <v>6</v>
      </c>
      <c r="E38" s="10">
        <v>8</v>
      </c>
      <c r="F38" s="10">
        <v>10</v>
      </c>
      <c r="G38" s="10">
        <v>10</v>
      </c>
      <c r="H38" s="10">
        <v>10</v>
      </c>
      <c r="I38" s="10">
        <v>10</v>
      </c>
      <c r="J38" s="238">
        <f>SUM(C38:I38)</f>
        <v>60</v>
      </c>
      <c r="Q38" s="266"/>
      <c r="R38" s="263"/>
      <c r="S38" s="263"/>
      <c r="T38" s="263"/>
      <c r="U38" s="263"/>
      <c r="V38" s="263"/>
      <c r="W38" s="268"/>
      <c r="X38" s="268"/>
      <c r="Y38" s="268"/>
      <c r="Z38" s="268"/>
    </row>
    <row r="39" spans="2:32" x14ac:dyDescent="0.2">
      <c r="B39" s="239" t="s">
        <v>533</v>
      </c>
      <c r="C39" s="10">
        <v>15</v>
      </c>
      <c r="D39" s="10">
        <v>20</v>
      </c>
      <c r="E39" s="10">
        <v>20</v>
      </c>
      <c r="F39" s="10">
        <v>20</v>
      </c>
      <c r="G39" s="10">
        <v>20</v>
      </c>
      <c r="H39" s="10">
        <v>20</v>
      </c>
      <c r="I39" s="10">
        <v>20</v>
      </c>
      <c r="J39" s="238">
        <f>SUM(C39:I39)</f>
        <v>135</v>
      </c>
      <c r="Q39" s="266"/>
      <c r="R39" s="263"/>
      <c r="S39" s="263"/>
      <c r="T39" s="263"/>
      <c r="U39" s="263"/>
      <c r="V39" s="263"/>
      <c r="W39" s="259"/>
      <c r="X39" s="259"/>
      <c r="Y39" s="259"/>
      <c r="Z39" s="259"/>
    </row>
    <row r="40" spans="2:32" x14ac:dyDescent="0.2">
      <c r="B40" s="239"/>
      <c r="C40" s="10"/>
      <c r="D40" s="10"/>
      <c r="E40" s="10"/>
      <c r="F40" s="10"/>
      <c r="G40" s="10"/>
      <c r="H40" s="10"/>
      <c r="I40" s="10"/>
      <c r="J40" s="238"/>
      <c r="Q40" s="266"/>
      <c r="R40" s="263"/>
      <c r="S40" s="263"/>
      <c r="T40" s="263"/>
      <c r="U40" s="263"/>
      <c r="V40" s="263"/>
      <c r="W40" s="259"/>
      <c r="X40" s="259"/>
      <c r="Y40" s="259"/>
      <c r="Z40" s="259"/>
    </row>
    <row r="41" spans="2:32" ht="16" thickBot="1" x14ac:dyDescent="0.25">
      <c r="B41" s="240" t="s">
        <v>528</v>
      </c>
      <c r="C41" s="36"/>
      <c r="D41" s="36"/>
      <c r="E41" s="36"/>
      <c r="F41" s="36"/>
      <c r="G41" s="36"/>
      <c r="H41" s="36"/>
      <c r="I41" s="36"/>
      <c r="J41" s="241">
        <f>SUM(J38:J40)</f>
        <v>195</v>
      </c>
      <c r="Q41" s="266"/>
      <c r="R41" s="263"/>
      <c r="S41" s="263"/>
      <c r="T41" s="263"/>
      <c r="U41" s="263"/>
      <c r="V41" s="263"/>
      <c r="W41" s="268"/>
      <c r="X41" s="268"/>
      <c r="Y41" s="268"/>
      <c r="Z41" s="268"/>
    </row>
    <row r="42" spans="2:32" x14ac:dyDescent="0.2">
      <c r="Q42" s="266"/>
      <c r="R42" s="263"/>
      <c r="S42" s="263"/>
      <c r="T42" s="263"/>
      <c r="U42" s="263"/>
      <c r="V42" s="263"/>
      <c r="W42" s="259"/>
      <c r="X42" s="259"/>
      <c r="Y42" s="259"/>
      <c r="Z42" s="259"/>
    </row>
    <row r="43" spans="2:32" x14ac:dyDescent="0.2">
      <c r="C43" s="1">
        <f>SUM(C38:C42)</f>
        <v>21</v>
      </c>
      <c r="D43" s="1">
        <f t="shared" ref="D43:I43" si="7">SUM(D38:D42)</f>
        <v>26</v>
      </c>
      <c r="E43" s="1">
        <f t="shared" si="7"/>
        <v>28</v>
      </c>
      <c r="F43" s="1">
        <f t="shared" si="7"/>
        <v>30</v>
      </c>
      <c r="G43" s="1">
        <f t="shared" si="7"/>
        <v>30</v>
      </c>
      <c r="H43" s="1">
        <f t="shared" si="7"/>
        <v>30</v>
      </c>
      <c r="I43" s="1">
        <f t="shared" si="7"/>
        <v>30</v>
      </c>
      <c r="Q43" s="266"/>
      <c r="R43" s="263"/>
      <c r="S43" s="263"/>
      <c r="T43" s="263"/>
      <c r="U43" s="263"/>
      <c r="V43" s="263"/>
      <c r="W43" s="259"/>
      <c r="X43" s="259"/>
      <c r="Y43" s="259"/>
      <c r="Z43" s="259"/>
    </row>
    <row r="44" spans="2:32" x14ac:dyDescent="0.2">
      <c r="Q44" s="266"/>
      <c r="R44" s="263"/>
      <c r="S44" s="263"/>
      <c r="T44" s="263"/>
      <c r="U44" s="263"/>
      <c r="V44" s="263"/>
      <c r="W44" s="259"/>
      <c r="X44" s="259"/>
      <c r="Y44" s="259"/>
      <c r="Z44" s="259"/>
    </row>
    <row r="45" spans="2:32" x14ac:dyDescent="0.2">
      <c r="Q45" s="266"/>
      <c r="R45" s="263"/>
      <c r="S45" s="263"/>
      <c r="T45" s="263"/>
      <c r="U45" s="263"/>
      <c r="V45" s="263"/>
      <c r="W45" s="268"/>
      <c r="X45" s="268"/>
      <c r="Y45" s="268"/>
      <c r="Z45" s="268"/>
    </row>
    <row r="46" spans="2:32" ht="31" x14ac:dyDescent="0.35">
      <c r="B46" s="205" t="s">
        <v>534</v>
      </c>
      <c r="M46" s="116" t="s">
        <v>535</v>
      </c>
      <c r="N46" s="242">
        <f>('[2]ref VESPA Staff '!HZ41+'[2]ref VESPA Staff '!HZ43+'[2]ref VESPA Staff '!HZ45)/3</f>
        <v>127116</v>
      </c>
      <c r="O46" s="1" t="s">
        <v>536</v>
      </c>
      <c r="Q46" s="266"/>
      <c r="R46" s="263"/>
      <c r="S46" s="263"/>
      <c r="T46" s="263"/>
      <c r="U46" s="263"/>
      <c r="V46" s="263"/>
      <c r="W46" s="259"/>
      <c r="X46" s="259"/>
      <c r="Y46" s="259"/>
      <c r="Z46" s="259"/>
    </row>
    <row r="47" spans="2:32" ht="16" thickBot="1" x14ac:dyDescent="0.25">
      <c r="Q47" s="266"/>
      <c r="R47" s="263"/>
      <c r="S47" s="263"/>
      <c r="T47" s="263"/>
      <c r="U47" s="263"/>
      <c r="V47" s="263"/>
      <c r="W47" s="259"/>
      <c r="X47" s="259"/>
      <c r="Y47" s="259"/>
      <c r="Z47" s="259"/>
    </row>
    <row r="48" spans="2:32" ht="25.5" customHeight="1" x14ac:dyDescent="0.2">
      <c r="B48" s="243"/>
      <c r="C48" s="118">
        <v>2017</v>
      </c>
      <c r="D48" s="118">
        <f>C48+1</f>
        <v>2018</v>
      </c>
      <c r="E48" s="118">
        <f t="shared" ref="E48:I48" si="8">D48+1</f>
        <v>2019</v>
      </c>
      <c r="F48" s="118">
        <f t="shared" si="8"/>
        <v>2020</v>
      </c>
      <c r="G48" s="118">
        <f t="shared" si="8"/>
        <v>2021</v>
      </c>
      <c r="H48" s="118">
        <f t="shared" si="8"/>
        <v>2022</v>
      </c>
      <c r="I48" s="118">
        <f t="shared" si="8"/>
        <v>2023</v>
      </c>
      <c r="J48" s="269" t="s">
        <v>417</v>
      </c>
      <c r="Q48" s="266"/>
      <c r="R48" s="263"/>
      <c r="S48" s="263"/>
      <c r="T48" s="263"/>
      <c r="U48" s="263"/>
      <c r="V48" s="263"/>
      <c r="W48" s="259"/>
      <c r="X48" s="259"/>
      <c r="Y48" s="259"/>
      <c r="Z48" s="259"/>
    </row>
    <row r="49" spans="2:26" x14ac:dyDescent="0.2">
      <c r="B49" s="244" t="s">
        <v>566</v>
      </c>
      <c r="C49" s="10">
        <v>0.1</v>
      </c>
      <c r="D49" s="10">
        <v>0.2</v>
      </c>
      <c r="E49" s="10">
        <v>0.3</v>
      </c>
      <c r="F49" s="10">
        <v>0.1</v>
      </c>
      <c r="G49" s="10">
        <v>0.1</v>
      </c>
      <c r="H49" s="10">
        <v>0.2</v>
      </c>
      <c r="I49" s="10">
        <v>0.2</v>
      </c>
      <c r="J49" s="245">
        <f>1.2*97.2</f>
        <v>116.64</v>
      </c>
      <c r="Q49" s="266"/>
      <c r="R49" s="263"/>
      <c r="S49" s="263"/>
      <c r="T49" s="263"/>
      <c r="U49" s="263"/>
      <c r="V49" s="263"/>
      <c r="W49" s="259"/>
      <c r="X49" s="259"/>
      <c r="Y49" s="259"/>
      <c r="Z49" s="259"/>
    </row>
    <row r="50" spans="2:26" x14ac:dyDescent="0.2">
      <c r="B50" s="244" t="s">
        <v>567</v>
      </c>
      <c r="C50" s="10"/>
      <c r="D50" s="10"/>
      <c r="E50" s="10"/>
      <c r="F50" s="10"/>
      <c r="G50" s="10"/>
      <c r="H50" s="10">
        <v>500</v>
      </c>
      <c r="I50" s="10">
        <v>75</v>
      </c>
      <c r="J50" s="245">
        <f t="shared" ref="J50:J52" si="9">SUM(C50:I50)</f>
        <v>575</v>
      </c>
      <c r="Q50" s="266"/>
      <c r="R50" s="263"/>
      <c r="S50" s="263"/>
      <c r="T50" s="263"/>
      <c r="U50" s="263"/>
      <c r="V50" s="263"/>
      <c r="W50" s="259"/>
      <c r="X50" s="259"/>
      <c r="Y50" s="259"/>
      <c r="Z50" s="259"/>
    </row>
    <row r="51" spans="2:26" x14ac:dyDescent="0.2">
      <c r="B51" s="244" t="s">
        <v>568</v>
      </c>
      <c r="C51" s="10"/>
      <c r="D51" s="10"/>
      <c r="E51" s="10"/>
      <c r="F51" s="10"/>
      <c r="G51" s="10">
        <v>250</v>
      </c>
      <c r="H51" s="10"/>
      <c r="I51" s="10"/>
      <c r="J51" s="245">
        <f t="shared" si="9"/>
        <v>250</v>
      </c>
      <c r="Q51" s="266"/>
      <c r="R51" s="263"/>
      <c r="S51" s="263"/>
      <c r="T51" s="263"/>
      <c r="U51" s="263"/>
      <c r="V51" s="263"/>
      <c r="W51" s="259"/>
      <c r="X51" s="259"/>
      <c r="Y51" s="259"/>
      <c r="Z51" s="259"/>
    </row>
    <row r="52" spans="2:26" x14ac:dyDescent="0.2">
      <c r="B52" s="244" t="s">
        <v>569</v>
      </c>
      <c r="C52" s="10"/>
      <c r="D52" s="10"/>
      <c r="E52" s="10"/>
      <c r="F52" s="10">
        <v>25</v>
      </c>
      <c r="G52" s="10"/>
      <c r="H52" s="10"/>
      <c r="I52" s="10"/>
      <c r="J52" s="245">
        <f t="shared" si="9"/>
        <v>25</v>
      </c>
      <c r="Q52" s="266"/>
      <c r="R52" s="263"/>
      <c r="S52" s="263"/>
      <c r="T52" s="263"/>
      <c r="U52" s="263"/>
      <c r="V52" s="263"/>
      <c r="W52" s="259"/>
      <c r="X52" s="259"/>
      <c r="Y52" s="259"/>
      <c r="Z52" s="259"/>
    </row>
    <row r="53" spans="2:26" ht="16" thickBot="1" x14ac:dyDescent="0.25">
      <c r="B53" s="246" t="s">
        <v>528</v>
      </c>
      <c r="C53" s="36"/>
      <c r="D53" s="36"/>
      <c r="E53" s="36"/>
      <c r="F53" s="36"/>
      <c r="G53" s="36"/>
      <c r="H53" s="36"/>
      <c r="I53" s="36"/>
      <c r="J53" s="247">
        <f>SUM(J49:J52)</f>
        <v>966.64</v>
      </c>
      <c r="Q53" s="266"/>
      <c r="R53" s="263"/>
      <c r="S53" s="263"/>
      <c r="T53" s="263"/>
      <c r="U53" s="263"/>
      <c r="V53" s="263"/>
      <c r="W53" s="259"/>
      <c r="X53" s="259"/>
      <c r="Y53" s="259"/>
      <c r="Z53" s="259"/>
    </row>
    <row r="54" spans="2:26" x14ac:dyDescent="0.2">
      <c r="Q54" s="266"/>
      <c r="R54" s="263"/>
      <c r="S54" s="263"/>
      <c r="T54" s="263"/>
      <c r="U54" s="263"/>
      <c r="V54" s="263"/>
      <c r="W54" s="259"/>
      <c r="X54" s="259"/>
      <c r="Y54" s="259"/>
      <c r="Z54" s="259"/>
    </row>
    <row r="55" spans="2:26" x14ac:dyDescent="0.2">
      <c r="B55" t="s">
        <v>537</v>
      </c>
      <c r="Q55" s="266"/>
      <c r="R55" s="263"/>
      <c r="S55" s="263"/>
      <c r="T55" s="263"/>
      <c r="U55" s="263"/>
      <c r="V55" s="263"/>
      <c r="W55" s="259"/>
      <c r="X55" s="259"/>
      <c r="Y55" s="259"/>
      <c r="Z55" s="259"/>
    </row>
    <row r="56" spans="2:26" ht="16" thickBot="1" x14ac:dyDescent="0.25">
      <c r="Q56" s="266"/>
      <c r="R56" s="263"/>
      <c r="S56" s="263"/>
      <c r="T56" s="263"/>
      <c r="U56" s="263"/>
      <c r="V56" s="263"/>
      <c r="W56" s="259"/>
      <c r="X56" s="259"/>
      <c r="Y56" s="259"/>
      <c r="Z56" s="259"/>
    </row>
    <row r="57" spans="2:26" ht="19" x14ac:dyDescent="0.25">
      <c r="B57" s="248" t="s">
        <v>587</v>
      </c>
      <c r="C57" s="249">
        <f>K31</f>
        <v>1685.0297200000005</v>
      </c>
    </row>
    <row r="58" spans="2:26" ht="19" x14ac:dyDescent="0.25">
      <c r="B58" s="250" t="s">
        <v>538</v>
      </c>
      <c r="C58" s="251">
        <f>J41</f>
        <v>195</v>
      </c>
    </row>
    <row r="59" spans="2:26" ht="20" thickBot="1" x14ac:dyDescent="0.3">
      <c r="B59" s="293" t="s">
        <v>583</v>
      </c>
      <c r="C59" s="252">
        <f>J53</f>
        <v>966.64</v>
      </c>
    </row>
    <row r="60" spans="2:26" ht="16" thickBot="1" x14ac:dyDescent="0.25">
      <c r="B60" s="253"/>
      <c r="C60" s="254"/>
    </row>
    <row r="61" spans="2:26" ht="20" thickBot="1" x14ac:dyDescent="0.25">
      <c r="B61" s="255" t="s">
        <v>539</v>
      </c>
      <c r="C61" s="256">
        <f>SUM(C57:C60)</f>
        <v>2846.6697200000003</v>
      </c>
    </row>
  </sheetData>
  <mergeCells count="15">
    <mergeCell ref="C26:J26"/>
    <mergeCell ref="C36:C37"/>
    <mergeCell ref="D36:D37"/>
    <mergeCell ref="E36:E37"/>
    <mergeCell ref="F36:F37"/>
    <mergeCell ref="G36:G37"/>
    <mergeCell ref="H36:H37"/>
    <mergeCell ref="I36:I37"/>
    <mergeCell ref="J36:J37"/>
    <mergeCell ref="C23:J23"/>
    <mergeCell ref="C8:J8"/>
    <mergeCell ref="C12:J12"/>
    <mergeCell ref="C14:J14"/>
    <mergeCell ref="C18:J18"/>
    <mergeCell ref="C21:J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I146"/>
  <sheetViews>
    <sheetView workbookViewId="0">
      <selection activeCell="I12" sqref="I12"/>
    </sheetView>
  </sheetViews>
  <sheetFormatPr baseColWidth="10" defaultColWidth="8.83203125" defaultRowHeight="15" x14ac:dyDescent="0.2"/>
  <cols>
    <col min="4" max="4" width="49.33203125" bestFit="1" customWidth="1"/>
    <col min="9" max="9" width="35.6640625" bestFit="1" customWidth="1"/>
  </cols>
  <sheetData>
    <row r="3" spans="3:8" x14ac:dyDescent="0.2">
      <c r="E3" s="1"/>
      <c r="F3" s="1"/>
      <c r="G3" s="2"/>
      <c r="H3" s="1"/>
    </row>
    <row r="4" spans="3:8" ht="16" thickBot="1" x14ac:dyDescent="0.25">
      <c r="E4" s="3" t="s">
        <v>4</v>
      </c>
      <c r="F4" s="1"/>
      <c r="G4" s="4" t="s">
        <v>5</v>
      </c>
      <c r="H4" s="1"/>
    </row>
    <row r="5" spans="3:8" ht="16" thickBot="1" x14ac:dyDescent="0.25">
      <c r="C5" s="353" t="s">
        <v>6</v>
      </c>
      <c r="D5" s="5" t="s">
        <v>7</v>
      </c>
      <c r="E5" s="6"/>
      <c r="F5" s="6"/>
      <c r="G5" s="185"/>
      <c r="H5" s="1"/>
    </row>
    <row r="6" spans="3:8" x14ac:dyDescent="0.2">
      <c r="C6" s="354"/>
      <c r="D6" s="8" t="s">
        <v>8</v>
      </c>
      <c r="E6" s="9">
        <v>70</v>
      </c>
      <c r="F6" s="10" t="s">
        <v>9</v>
      </c>
      <c r="G6" s="75">
        <f>15*E6</f>
        <v>1050</v>
      </c>
      <c r="H6" s="1"/>
    </row>
    <row r="7" spans="3:8" ht="16" thickBot="1" x14ac:dyDescent="0.25">
      <c r="C7" s="354"/>
      <c r="D7" s="12" t="s">
        <v>10</v>
      </c>
      <c r="E7" s="9">
        <v>120</v>
      </c>
      <c r="F7" s="10" t="s">
        <v>9</v>
      </c>
      <c r="G7" s="75">
        <f>0.8*E7</f>
        <v>96</v>
      </c>
      <c r="H7" s="1"/>
    </row>
    <row r="8" spans="3:8" ht="16" thickBot="1" x14ac:dyDescent="0.25">
      <c r="C8" s="354"/>
      <c r="D8" s="13"/>
      <c r="E8" s="10"/>
      <c r="F8" s="10"/>
      <c r="G8" s="186">
        <f>SUM(G6:G7)</f>
        <v>1146</v>
      </c>
      <c r="H8" s="1"/>
    </row>
    <row r="9" spans="3:8" ht="16" thickBot="1" x14ac:dyDescent="0.25">
      <c r="C9" s="354"/>
      <c r="D9" s="13"/>
      <c r="E9" s="10"/>
      <c r="F9" s="10"/>
      <c r="G9" s="75"/>
      <c r="H9" s="1"/>
    </row>
    <row r="10" spans="3:8" ht="16" thickBot="1" x14ac:dyDescent="0.25">
      <c r="C10" s="354"/>
      <c r="D10" s="5" t="s">
        <v>11</v>
      </c>
      <c r="E10" s="10"/>
      <c r="F10" s="10"/>
      <c r="G10" s="187"/>
      <c r="H10" s="1"/>
    </row>
    <row r="11" spans="3:8" ht="16" thickBot="1" x14ac:dyDescent="0.25">
      <c r="C11" s="354"/>
      <c r="D11" s="16" t="s">
        <v>12</v>
      </c>
      <c r="E11" s="10"/>
      <c r="F11" s="10"/>
      <c r="G11" s="188">
        <v>350</v>
      </c>
      <c r="H11" s="1"/>
    </row>
    <row r="12" spans="3:8" ht="16" thickBot="1" x14ac:dyDescent="0.25">
      <c r="C12" s="354"/>
      <c r="D12" s="5" t="s">
        <v>13</v>
      </c>
      <c r="E12" s="10"/>
      <c r="F12" s="10"/>
      <c r="G12" s="75"/>
      <c r="H12" s="1" t="s">
        <v>14</v>
      </c>
    </row>
    <row r="13" spans="3:8" x14ac:dyDescent="0.2">
      <c r="C13" s="354"/>
      <c r="D13" s="18" t="s">
        <v>15</v>
      </c>
      <c r="E13" s="19">
        <v>3</v>
      </c>
      <c r="F13" s="20">
        <v>198</v>
      </c>
      <c r="G13" s="75">
        <f>E13*F13</f>
        <v>594</v>
      </c>
      <c r="H13" s="1"/>
    </row>
    <row r="14" spans="3:8" x14ac:dyDescent="0.2">
      <c r="C14" s="354"/>
      <c r="D14" s="70" t="s">
        <v>16</v>
      </c>
      <c r="E14" s="71">
        <v>0.75</v>
      </c>
      <c r="F14" s="20">
        <v>144</v>
      </c>
      <c r="G14" s="75">
        <f t="shared" ref="G14:G15" si="0">E14*F14</f>
        <v>108</v>
      </c>
      <c r="H14" s="1">
        <v>122.7</v>
      </c>
    </row>
    <row r="15" spans="3:8" x14ac:dyDescent="0.2">
      <c r="C15" s="354"/>
      <c r="D15" s="70" t="s">
        <v>17</v>
      </c>
      <c r="E15" s="71">
        <v>1</v>
      </c>
      <c r="F15" s="20">
        <v>131</v>
      </c>
      <c r="G15" s="75">
        <f t="shared" si="0"/>
        <v>131</v>
      </c>
      <c r="H15" s="1">
        <v>245</v>
      </c>
    </row>
    <row r="16" spans="3:8" x14ac:dyDescent="0.2">
      <c r="C16" s="354"/>
      <c r="D16" s="18" t="s">
        <v>484</v>
      </c>
      <c r="E16" s="71">
        <v>0.75</v>
      </c>
      <c r="F16" s="10"/>
      <c r="G16" s="189">
        <v>16.635000000000002</v>
      </c>
      <c r="H16" s="1"/>
    </row>
    <row r="17" spans="3:9" x14ac:dyDescent="0.2">
      <c r="C17" s="354"/>
      <c r="D17" s="18" t="s">
        <v>485</v>
      </c>
      <c r="E17" s="71">
        <v>0.75</v>
      </c>
      <c r="F17" s="10"/>
      <c r="G17" s="187">
        <v>145</v>
      </c>
      <c r="H17" s="1"/>
    </row>
    <row r="18" spans="3:9" x14ac:dyDescent="0.2">
      <c r="C18" s="354"/>
      <c r="D18" s="18" t="s">
        <v>20</v>
      </c>
      <c r="E18" s="22">
        <v>1</v>
      </c>
      <c r="F18" s="10"/>
      <c r="G18" s="75">
        <v>30.6</v>
      </c>
      <c r="H18" s="1"/>
      <c r="I18" s="1"/>
    </row>
    <row r="19" spans="3:9" x14ac:dyDescent="0.2">
      <c r="C19" s="354"/>
      <c r="D19" s="18" t="s">
        <v>21</v>
      </c>
      <c r="E19" s="22">
        <v>1</v>
      </c>
      <c r="F19" s="10"/>
      <c r="G19" s="75">
        <v>11.8</v>
      </c>
      <c r="H19" s="1"/>
      <c r="I19" s="1"/>
    </row>
    <row r="20" spans="3:9" x14ac:dyDescent="0.2">
      <c r="C20" s="354"/>
      <c r="D20" s="18" t="s">
        <v>22</v>
      </c>
      <c r="E20" s="22">
        <v>1</v>
      </c>
      <c r="F20" s="10"/>
      <c r="G20" s="75">
        <v>85</v>
      </c>
      <c r="H20" s="1"/>
      <c r="I20" s="1"/>
    </row>
    <row r="21" spans="3:9" x14ac:dyDescent="0.2">
      <c r="C21" s="354"/>
      <c r="D21" s="18" t="s">
        <v>23</v>
      </c>
      <c r="E21" s="22">
        <v>2</v>
      </c>
      <c r="F21" s="10"/>
      <c r="G21" s="75">
        <v>145.43999999999997</v>
      </c>
      <c r="H21" s="1"/>
      <c r="I21" s="1"/>
    </row>
    <row r="22" spans="3:9" ht="16" thickBot="1" x14ac:dyDescent="0.25">
      <c r="C22" s="354"/>
      <c r="D22" s="23" t="s">
        <v>24</v>
      </c>
      <c r="E22" s="24"/>
      <c r="F22" s="10"/>
      <c r="G22" s="75"/>
      <c r="H22" s="1"/>
      <c r="I22" s="1"/>
    </row>
    <row r="23" spans="3:9" ht="16" thickBot="1" x14ac:dyDescent="0.25">
      <c r="C23" s="354"/>
      <c r="D23" s="13"/>
      <c r="E23" s="10"/>
      <c r="F23" s="10"/>
      <c r="G23" s="190">
        <f>SUM(G13:G22)</f>
        <v>1267.4749999999999</v>
      </c>
      <c r="H23" s="1"/>
      <c r="I23" s="1"/>
    </row>
    <row r="24" spans="3:9" ht="16" thickBot="1" x14ac:dyDescent="0.25">
      <c r="C24" s="354"/>
      <c r="D24" s="5" t="s">
        <v>25</v>
      </c>
      <c r="E24" s="10">
        <v>0</v>
      </c>
      <c r="F24" s="10"/>
      <c r="G24" s="191">
        <v>0</v>
      </c>
      <c r="H24" s="1"/>
      <c r="I24" s="1"/>
    </row>
    <row r="25" spans="3:9" ht="16" thickBot="1" x14ac:dyDescent="0.25">
      <c r="C25" s="354"/>
      <c r="D25" s="13"/>
      <c r="E25" s="10"/>
      <c r="F25" s="10"/>
      <c r="G25" s="192"/>
      <c r="H25" s="1"/>
      <c r="I25" s="1"/>
    </row>
    <row r="26" spans="3:9" ht="16" thickBot="1" x14ac:dyDescent="0.25">
      <c r="C26" s="354"/>
      <c r="D26" s="5" t="s">
        <v>26</v>
      </c>
      <c r="E26" s="10"/>
      <c r="F26" s="10"/>
      <c r="G26" s="192"/>
      <c r="H26" s="1"/>
      <c r="I26" s="1"/>
    </row>
    <row r="27" spans="3:9" x14ac:dyDescent="0.2">
      <c r="C27" s="354"/>
      <c r="D27" s="18" t="s">
        <v>106</v>
      </c>
      <c r="E27" s="73"/>
      <c r="F27" s="73"/>
      <c r="G27" s="74">
        <v>40</v>
      </c>
      <c r="H27" s="356" t="s">
        <v>108</v>
      </c>
      <c r="I27" s="357"/>
    </row>
    <row r="28" spans="3:9" x14ac:dyDescent="0.2">
      <c r="C28" s="354"/>
      <c r="D28" s="18" t="s">
        <v>107</v>
      </c>
      <c r="E28" s="73"/>
      <c r="F28" s="73"/>
      <c r="G28" s="74">
        <v>1160</v>
      </c>
      <c r="H28" s="358"/>
      <c r="I28" s="359"/>
    </row>
    <row r="29" spans="3:9" x14ac:dyDescent="0.2">
      <c r="C29" s="354"/>
      <c r="D29" s="18" t="s">
        <v>30</v>
      </c>
      <c r="E29" s="73">
        <v>57</v>
      </c>
      <c r="F29" s="73">
        <v>7</v>
      </c>
      <c r="G29" s="74">
        <f>F29*E29</f>
        <v>399</v>
      </c>
      <c r="H29" s="358"/>
      <c r="I29" s="359"/>
    </row>
    <row r="30" spans="3:9" ht="16" thickBot="1" x14ac:dyDescent="0.25">
      <c r="C30" s="354"/>
      <c r="D30" s="23" t="s">
        <v>31</v>
      </c>
      <c r="E30" s="10"/>
      <c r="F30" s="10"/>
      <c r="G30" s="72">
        <v>50</v>
      </c>
      <c r="H30" s="358"/>
      <c r="I30" s="359"/>
    </row>
    <row r="31" spans="3:9" ht="16" thickBot="1" x14ac:dyDescent="0.25">
      <c r="C31" s="354"/>
      <c r="D31" s="13"/>
      <c r="E31" s="10"/>
      <c r="F31" s="10"/>
      <c r="G31" s="193">
        <f>SUM(G27:G30)</f>
        <v>1649</v>
      </c>
      <c r="H31" s="360"/>
      <c r="I31" s="361"/>
    </row>
    <row r="32" spans="3:9" ht="16" thickBot="1" x14ac:dyDescent="0.25">
      <c r="C32" s="354"/>
      <c r="D32" s="5" t="s">
        <v>32</v>
      </c>
      <c r="E32" s="10">
        <v>4</v>
      </c>
      <c r="F32" s="31">
        <v>10</v>
      </c>
      <c r="G32" s="186">
        <f>F32*E32</f>
        <v>40</v>
      </c>
      <c r="H32" s="1"/>
      <c r="I32" s="1"/>
    </row>
    <row r="33" spans="3:9" ht="16" thickBot="1" x14ac:dyDescent="0.25">
      <c r="C33" s="354"/>
      <c r="D33" s="5" t="s">
        <v>33</v>
      </c>
      <c r="E33" s="10">
        <v>1</v>
      </c>
      <c r="F33" s="10">
        <v>50</v>
      </c>
      <c r="G33" s="186">
        <v>30</v>
      </c>
      <c r="H33" s="1"/>
      <c r="I33" s="34"/>
    </row>
    <row r="34" spans="3:9" ht="16" thickBot="1" x14ac:dyDescent="0.25">
      <c r="C34" s="354"/>
      <c r="D34" s="13" t="s">
        <v>34</v>
      </c>
      <c r="E34" s="10"/>
      <c r="F34" s="10"/>
      <c r="G34" s="75">
        <v>50</v>
      </c>
      <c r="H34" s="1"/>
      <c r="I34" s="1"/>
    </row>
    <row r="35" spans="3:9" ht="16" thickBot="1" x14ac:dyDescent="0.25">
      <c r="C35" s="355"/>
      <c r="D35" s="35"/>
      <c r="E35" s="36"/>
      <c r="F35" s="36"/>
      <c r="G35" s="186">
        <f>G8+G23+G31+G32+G33+G11+G34</f>
        <v>4532.4750000000004</v>
      </c>
      <c r="H35" s="1"/>
      <c r="I35" s="1"/>
    </row>
    <row r="36" spans="3:9" x14ac:dyDescent="0.2">
      <c r="E36" s="1"/>
      <c r="F36" s="1"/>
      <c r="G36" s="194"/>
      <c r="H36" s="1"/>
      <c r="I36" s="1"/>
    </row>
    <row r="37" spans="3:9" ht="16" thickBot="1" x14ac:dyDescent="0.25">
      <c r="E37" s="3" t="s">
        <v>4</v>
      </c>
      <c r="F37" s="1"/>
      <c r="G37" s="195" t="s">
        <v>5</v>
      </c>
      <c r="H37" s="1"/>
      <c r="I37" s="1"/>
    </row>
    <row r="38" spans="3:9" ht="16" thickBot="1" x14ac:dyDescent="0.25">
      <c r="C38" s="350" t="s">
        <v>35</v>
      </c>
      <c r="D38" s="39" t="s">
        <v>36</v>
      </c>
      <c r="E38" s="6">
        <v>1</v>
      </c>
      <c r="F38" s="6">
        <v>40</v>
      </c>
      <c r="G38" s="196">
        <f>F38*E38</f>
        <v>40</v>
      </c>
      <c r="H38" s="1"/>
      <c r="I38" s="34"/>
    </row>
    <row r="39" spans="3:9" ht="16" thickBot="1" x14ac:dyDescent="0.25">
      <c r="C39" s="351"/>
      <c r="D39" s="39" t="s">
        <v>37</v>
      </c>
      <c r="E39" s="10">
        <v>1</v>
      </c>
      <c r="F39" s="10">
        <v>100</v>
      </c>
      <c r="G39" s="197">
        <v>150</v>
      </c>
      <c r="H39" s="1"/>
      <c r="I39" s="1"/>
    </row>
    <row r="40" spans="3:9" ht="16" thickBot="1" x14ac:dyDescent="0.25">
      <c r="C40" s="351"/>
      <c r="D40" s="39" t="s">
        <v>38</v>
      </c>
      <c r="E40" s="10">
        <v>2</v>
      </c>
      <c r="F40" s="10">
        <v>30</v>
      </c>
      <c r="G40" s="186">
        <f>F40*E40</f>
        <v>60</v>
      </c>
      <c r="H40" s="1"/>
      <c r="I40" s="34"/>
    </row>
    <row r="41" spans="3:9" ht="16" thickBot="1" x14ac:dyDescent="0.25">
      <c r="C41" s="351"/>
      <c r="D41" s="39" t="s">
        <v>39</v>
      </c>
      <c r="E41" s="10">
        <v>1</v>
      </c>
      <c r="F41" s="10">
        <v>5</v>
      </c>
      <c r="G41" s="186">
        <f>F41*E41</f>
        <v>5</v>
      </c>
      <c r="H41" s="1"/>
      <c r="I41" s="1"/>
    </row>
    <row r="42" spans="3:9" x14ac:dyDescent="0.2">
      <c r="C42" s="351"/>
      <c r="D42" s="43" t="s">
        <v>40</v>
      </c>
      <c r="E42" s="10">
        <v>1</v>
      </c>
      <c r="F42" s="10">
        <v>20</v>
      </c>
      <c r="G42" s="75">
        <f>F42*E42</f>
        <v>20</v>
      </c>
      <c r="H42" s="1"/>
      <c r="I42" s="1"/>
    </row>
    <row r="43" spans="3:9" x14ac:dyDescent="0.2">
      <c r="C43" s="351"/>
      <c r="D43" s="43"/>
      <c r="E43" s="10">
        <v>0</v>
      </c>
      <c r="F43" s="10">
        <v>0</v>
      </c>
      <c r="G43" s="75">
        <f t="shared" ref="G43:G46" si="1">F43*E43</f>
        <v>0</v>
      </c>
      <c r="H43" s="1"/>
      <c r="I43" s="1"/>
    </row>
    <row r="44" spans="3:9" x14ac:dyDescent="0.2">
      <c r="C44" s="351"/>
      <c r="D44" s="43" t="s">
        <v>41</v>
      </c>
      <c r="E44" s="10">
        <v>0</v>
      </c>
      <c r="F44" s="10">
        <v>5</v>
      </c>
      <c r="G44" s="75">
        <f t="shared" si="1"/>
        <v>0</v>
      </c>
      <c r="H44" s="1"/>
      <c r="I44" s="1"/>
    </row>
    <row r="45" spans="3:9" x14ac:dyDescent="0.2">
      <c r="C45" s="351"/>
      <c r="D45" s="43" t="s">
        <v>42</v>
      </c>
      <c r="E45" s="10">
        <v>0</v>
      </c>
      <c r="F45" s="10">
        <v>150</v>
      </c>
      <c r="G45" s="75">
        <f t="shared" si="1"/>
        <v>0</v>
      </c>
      <c r="H45" s="1"/>
      <c r="I45" s="1"/>
    </row>
    <row r="46" spans="3:9" x14ac:dyDescent="0.2">
      <c r="C46" s="351"/>
      <c r="D46" s="43" t="s">
        <v>43</v>
      </c>
      <c r="E46" s="10">
        <v>1</v>
      </c>
      <c r="F46" s="10">
        <v>50</v>
      </c>
      <c r="G46" s="75">
        <f t="shared" si="1"/>
        <v>50</v>
      </c>
      <c r="H46" s="1"/>
      <c r="I46" s="1"/>
    </row>
    <row r="47" spans="3:9" ht="16" thickBot="1" x14ac:dyDescent="0.25">
      <c r="C47" s="351"/>
      <c r="D47" s="43"/>
      <c r="E47" s="10"/>
      <c r="F47" s="10"/>
      <c r="G47" s="198"/>
      <c r="H47" s="1"/>
    </row>
    <row r="48" spans="3:9" ht="16" thickBot="1" x14ac:dyDescent="0.25">
      <c r="C48" s="352"/>
      <c r="D48" s="46"/>
      <c r="E48" s="36"/>
      <c r="F48" s="36"/>
      <c r="G48" s="186">
        <f>G38+G39+G40+G41+G42+G43+G44+G45+G46</f>
        <v>325</v>
      </c>
      <c r="H48" s="1"/>
    </row>
    <row r="49" spans="3:8" x14ac:dyDescent="0.2">
      <c r="E49" s="1"/>
      <c r="F49" s="1"/>
      <c r="G49" s="199"/>
      <c r="H49" s="1"/>
    </row>
    <row r="50" spans="3:8" ht="16" thickBot="1" x14ac:dyDescent="0.25">
      <c r="E50" s="3" t="s">
        <v>4</v>
      </c>
      <c r="F50" s="1"/>
      <c r="G50" s="195" t="s">
        <v>5</v>
      </c>
      <c r="H50" s="1"/>
    </row>
    <row r="51" spans="3:8" ht="16" thickBot="1" x14ac:dyDescent="0.25">
      <c r="C51" s="350" t="s">
        <v>44</v>
      </c>
      <c r="D51" s="5" t="s">
        <v>45</v>
      </c>
      <c r="E51" s="6"/>
      <c r="F51" s="6"/>
      <c r="G51" s="185"/>
      <c r="H51" s="1"/>
    </row>
    <row r="52" spans="3:8" x14ac:dyDescent="0.2">
      <c r="C52" s="351"/>
      <c r="D52" s="18" t="s">
        <v>46</v>
      </c>
      <c r="E52" s="31">
        <v>15</v>
      </c>
      <c r="F52" s="10">
        <v>35</v>
      </c>
      <c r="G52" s="75">
        <f>F52*E52</f>
        <v>525</v>
      </c>
      <c r="H52" s="1"/>
    </row>
    <row r="53" spans="3:8" x14ac:dyDescent="0.2">
      <c r="C53" s="351"/>
      <c r="D53" s="18" t="s">
        <v>47</v>
      </c>
      <c r="E53" s="31">
        <v>15</v>
      </c>
      <c r="F53" s="10">
        <v>20</v>
      </c>
      <c r="G53" s="75">
        <f t="shared" ref="G53:G66" si="2">F53*E53</f>
        <v>300</v>
      </c>
      <c r="H53" s="1"/>
    </row>
    <row r="54" spans="3:8" x14ac:dyDescent="0.2">
      <c r="C54" s="351"/>
      <c r="D54" s="18" t="s">
        <v>48</v>
      </c>
      <c r="E54" s="31">
        <v>15</v>
      </c>
      <c r="F54" s="10">
        <v>16.5</v>
      </c>
      <c r="G54" s="75">
        <f t="shared" si="2"/>
        <v>247.5</v>
      </c>
      <c r="H54" s="1"/>
    </row>
    <row r="55" spans="3:8" x14ac:dyDescent="0.2">
      <c r="C55" s="351"/>
      <c r="D55" s="18" t="s">
        <v>49</v>
      </c>
      <c r="E55" s="31">
        <v>300</v>
      </c>
      <c r="F55" s="10">
        <v>2</v>
      </c>
      <c r="G55" s="75">
        <f t="shared" si="2"/>
        <v>600</v>
      </c>
      <c r="H55" s="1"/>
    </row>
    <row r="56" spans="3:8" x14ac:dyDescent="0.2">
      <c r="C56" s="351"/>
      <c r="D56" s="18" t="s">
        <v>50</v>
      </c>
      <c r="E56" s="31">
        <v>8</v>
      </c>
      <c r="F56" s="10">
        <v>1.5</v>
      </c>
      <c r="G56" s="75">
        <f t="shared" si="2"/>
        <v>12</v>
      </c>
      <c r="H56" s="1"/>
    </row>
    <row r="57" spans="3:8" x14ac:dyDescent="0.2">
      <c r="C57" s="351"/>
      <c r="D57" s="18" t="s">
        <v>51</v>
      </c>
      <c r="E57" s="31">
        <v>17</v>
      </c>
      <c r="F57" s="10">
        <v>0.3</v>
      </c>
      <c r="G57" s="75">
        <f t="shared" si="2"/>
        <v>5.0999999999999996</v>
      </c>
      <c r="H57" s="1"/>
    </row>
    <row r="58" spans="3:8" x14ac:dyDescent="0.2">
      <c r="C58" s="351"/>
      <c r="D58" s="18" t="s">
        <v>52</v>
      </c>
      <c r="E58" s="31">
        <f>3.45*E54+0.67*E56/8</f>
        <v>52.42</v>
      </c>
      <c r="F58" s="10">
        <v>2</v>
      </c>
      <c r="G58" s="75">
        <f t="shared" si="2"/>
        <v>104.84</v>
      </c>
      <c r="H58" s="1"/>
    </row>
    <row r="59" spans="3:8" x14ac:dyDescent="0.2">
      <c r="C59" s="351"/>
      <c r="D59" s="18" t="s">
        <v>53</v>
      </c>
      <c r="E59" s="31">
        <v>30</v>
      </c>
      <c r="F59" s="10">
        <v>0.42</v>
      </c>
      <c r="G59" s="75">
        <f t="shared" si="2"/>
        <v>12.6</v>
      </c>
      <c r="H59" s="1"/>
    </row>
    <row r="60" spans="3:8" ht="16" thickBot="1" x14ac:dyDescent="0.25">
      <c r="C60" s="351"/>
      <c r="D60" s="18" t="s">
        <v>54</v>
      </c>
      <c r="E60" s="31">
        <v>2</v>
      </c>
      <c r="F60" s="10">
        <v>2.5</v>
      </c>
      <c r="G60" s="75">
        <f t="shared" si="2"/>
        <v>5</v>
      </c>
      <c r="H60" s="1"/>
    </row>
    <row r="61" spans="3:8" ht="16" thickBot="1" x14ac:dyDescent="0.25">
      <c r="C61" s="351"/>
      <c r="D61" s="13"/>
      <c r="E61" s="10"/>
      <c r="F61" s="10" t="s">
        <v>55</v>
      </c>
      <c r="G61" s="186">
        <f>SUM(G52:G60)</f>
        <v>1812.0399999999997</v>
      </c>
      <c r="H61" s="1"/>
    </row>
    <row r="62" spans="3:8" ht="16" thickBot="1" x14ac:dyDescent="0.25">
      <c r="C62" s="351"/>
      <c r="D62" s="5" t="s">
        <v>56</v>
      </c>
      <c r="E62" s="10">
        <v>1</v>
      </c>
      <c r="F62" s="10">
        <v>100</v>
      </c>
      <c r="G62" s="186">
        <f t="shared" si="2"/>
        <v>100</v>
      </c>
      <c r="H62" s="1"/>
    </row>
    <row r="63" spans="3:8" ht="16" thickBot="1" x14ac:dyDescent="0.25">
      <c r="C63" s="351"/>
      <c r="D63" s="13"/>
      <c r="E63" s="10"/>
      <c r="F63" s="10"/>
      <c r="G63" s="192"/>
      <c r="H63" s="1"/>
    </row>
    <row r="64" spans="3:8" ht="16" thickBot="1" x14ac:dyDescent="0.25">
      <c r="C64" s="351"/>
      <c r="D64" s="5" t="s">
        <v>57</v>
      </c>
      <c r="E64" s="10">
        <v>1</v>
      </c>
      <c r="F64" s="10">
        <v>60</v>
      </c>
      <c r="G64" s="186">
        <f t="shared" si="2"/>
        <v>60</v>
      </c>
      <c r="H64" s="1"/>
    </row>
    <row r="65" spans="3:8" ht="16" thickBot="1" x14ac:dyDescent="0.25">
      <c r="C65" s="351"/>
      <c r="D65" s="13"/>
      <c r="E65" s="10"/>
      <c r="F65" s="10"/>
      <c r="G65" s="192"/>
      <c r="H65" s="1"/>
    </row>
    <row r="66" spans="3:8" ht="16" thickBot="1" x14ac:dyDescent="0.25">
      <c r="C66" s="351"/>
      <c r="D66" s="5" t="s">
        <v>58</v>
      </c>
      <c r="E66" s="10">
        <v>10</v>
      </c>
      <c r="F66" s="10">
        <v>3</v>
      </c>
      <c r="G66" s="186">
        <f t="shared" si="2"/>
        <v>30</v>
      </c>
      <c r="H66" s="1"/>
    </row>
    <row r="67" spans="3:8" ht="16" thickBot="1" x14ac:dyDescent="0.25">
      <c r="C67" s="351"/>
      <c r="D67" s="13"/>
      <c r="E67" s="10"/>
      <c r="F67" s="10"/>
      <c r="G67" s="192"/>
      <c r="H67" s="1"/>
    </row>
    <row r="68" spans="3:8" ht="16" thickBot="1" x14ac:dyDescent="0.25">
      <c r="C68" s="352"/>
      <c r="D68" s="35"/>
      <c r="E68" s="36"/>
      <c r="F68" s="36"/>
      <c r="G68" s="186">
        <f>G61+G62+G64+G66</f>
        <v>2002.0399999999997</v>
      </c>
      <c r="H68" s="1"/>
    </row>
    <row r="69" spans="3:8" x14ac:dyDescent="0.2">
      <c r="E69" s="1"/>
      <c r="F69" s="1"/>
      <c r="G69" s="199"/>
      <c r="H69" s="1"/>
    </row>
    <row r="70" spans="3:8" x14ac:dyDescent="0.2">
      <c r="E70" s="1"/>
      <c r="F70" s="1"/>
      <c r="G70" s="199"/>
      <c r="H70" s="1"/>
    </row>
    <row r="71" spans="3:8" ht="16" thickBot="1" x14ac:dyDescent="0.25">
      <c r="E71" s="3" t="s">
        <v>4</v>
      </c>
      <c r="F71" s="1"/>
      <c r="G71" s="195" t="s">
        <v>5</v>
      </c>
      <c r="H71" s="1"/>
    </row>
    <row r="72" spans="3:8" ht="15.75" customHeight="1" thickBot="1" x14ac:dyDescent="0.25">
      <c r="C72" s="350" t="s">
        <v>59</v>
      </c>
      <c r="D72" s="5" t="s">
        <v>60</v>
      </c>
      <c r="E72" s="6"/>
      <c r="F72" s="6"/>
      <c r="G72" s="185"/>
      <c r="H72" s="1"/>
    </row>
    <row r="73" spans="3:8" x14ac:dyDescent="0.2">
      <c r="C73" s="351"/>
      <c r="D73" s="8" t="s">
        <v>8</v>
      </c>
      <c r="E73" s="10">
        <v>50</v>
      </c>
      <c r="F73" s="10">
        <v>15</v>
      </c>
      <c r="G73" s="75">
        <f t="shared" ref="G73:G87" si="3">F73*E73</f>
        <v>750</v>
      </c>
      <c r="H73" s="1"/>
    </row>
    <row r="74" spans="3:8" x14ac:dyDescent="0.2">
      <c r="C74" s="362"/>
      <c r="D74" s="49" t="s">
        <v>10</v>
      </c>
      <c r="E74" s="10">
        <v>90</v>
      </c>
      <c r="F74" s="10">
        <v>0.8</v>
      </c>
      <c r="G74" s="75">
        <f t="shared" si="3"/>
        <v>72</v>
      </c>
      <c r="H74" s="1"/>
    </row>
    <row r="75" spans="3:8" x14ac:dyDescent="0.2">
      <c r="C75" s="351"/>
      <c r="D75" s="16" t="s">
        <v>61</v>
      </c>
      <c r="E75" s="10">
        <v>1</v>
      </c>
      <c r="F75" s="10">
        <v>60</v>
      </c>
      <c r="G75" s="75">
        <f t="shared" si="3"/>
        <v>60</v>
      </c>
      <c r="H75" s="1"/>
    </row>
    <row r="76" spans="3:8" x14ac:dyDescent="0.2">
      <c r="C76" s="351"/>
      <c r="D76" s="50" t="s">
        <v>62</v>
      </c>
      <c r="E76" s="10">
        <v>0</v>
      </c>
      <c r="F76" s="10">
        <v>50</v>
      </c>
      <c r="G76" s="75">
        <f t="shared" si="3"/>
        <v>0</v>
      </c>
      <c r="H76" s="1"/>
    </row>
    <row r="77" spans="3:8" x14ac:dyDescent="0.2">
      <c r="C77" s="351"/>
      <c r="D77" s="50" t="s">
        <v>63</v>
      </c>
      <c r="E77" s="10">
        <v>1</v>
      </c>
      <c r="F77" s="10">
        <v>30</v>
      </c>
      <c r="G77" s="75">
        <f t="shared" si="3"/>
        <v>30</v>
      </c>
      <c r="H77" s="1"/>
    </row>
    <row r="78" spans="3:8" x14ac:dyDescent="0.2">
      <c r="C78" s="351"/>
      <c r="D78" s="50" t="s">
        <v>64</v>
      </c>
      <c r="E78" s="10">
        <v>1</v>
      </c>
      <c r="F78" s="10">
        <v>20</v>
      </c>
      <c r="G78" s="75">
        <f t="shared" si="3"/>
        <v>20</v>
      </c>
      <c r="H78" s="1"/>
    </row>
    <row r="79" spans="3:8" x14ac:dyDescent="0.2">
      <c r="C79" s="351"/>
      <c r="D79" s="50" t="s">
        <v>65</v>
      </c>
      <c r="E79" s="10">
        <v>1</v>
      </c>
      <c r="F79" s="10">
        <v>25</v>
      </c>
      <c r="G79" s="75">
        <f t="shared" si="3"/>
        <v>25</v>
      </c>
      <c r="H79" s="1"/>
    </row>
    <row r="80" spans="3:8" x14ac:dyDescent="0.2">
      <c r="C80" s="351"/>
      <c r="D80" s="50" t="s">
        <v>66</v>
      </c>
      <c r="E80" s="10">
        <v>1</v>
      </c>
      <c r="F80" s="10">
        <v>20</v>
      </c>
      <c r="G80" s="75">
        <f t="shared" si="3"/>
        <v>20</v>
      </c>
      <c r="H80" s="1"/>
    </row>
    <row r="81" spans="3:8" x14ac:dyDescent="0.2">
      <c r="C81" s="351"/>
      <c r="D81" s="50"/>
      <c r="E81" s="10">
        <v>0</v>
      </c>
      <c r="F81" s="10">
        <v>200</v>
      </c>
      <c r="G81" s="75">
        <f t="shared" si="3"/>
        <v>0</v>
      </c>
      <c r="H81" s="51"/>
    </row>
    <row r="82" spans="3:8" x14ac:dyDescent="0.2">
      <c r="C82" s="351"/>
      <c r="D82" s="50" t="s">
        <v>67</v>
      </c>
      <c r="E82" s="10">
        <v>1</v>
      </c>
      <c r="F82" s="10">
        <v>0.8</v>
      </c>
      <c r="G82" s="75">
        <f t="shared" si="3"/>
        <v>0.8</v>
      </c>
      <c r="H82" s="1"/>
    </row>
    <row r="83" spans="3:8" x14ac:dyDescent="0.2">
      <c r="C83" s="351"/>
      <c r="D83" s="50" t="s">
        <v>68</v>
      </c>
      <c r="E83" s="10">
        <v>1</v>
      </c>
      <c r="F83" s="10">
        <v>30</v>
      </c>
      <c r="G83" s="75">
        <f t="shared" si="3"/>
        <v>30</v>
      </c>
      <c r="H83" s="1"/>
    </row>
    <row r="84" spans="3:8" x14ac:dyDescent="0.2">
      <c r="C84" s="351"/>
      <c r="D84" s="50" t="s">
        <v>69</v>
      </c>
      <c r="E84" s="10">
        <v>1</v>
      </c>
      <c r="F84" s="10">
        <v>8</v>
      </c>
      <c r="G84" s="75">
        <f t="shared" si="3"/>
        <v>8</v>
      </c>
      <c r="H84" s="1"/>
    </row>
    <row r="85" spans="3:8" x14ac:dyDescent="0.2">
      <c r="C85" s="351"/>
      <c r="D85" s="50" t="s">
        <v>70</v>
      </c>
      <c r="E85" s="10">
        <v>1</v>
      </c>
      <c r="F85" s="10">
        <v>5</v>
      </c>
      <c r="G85" s="75">
        <f t="shared" si="3"/>
        <v>5</v>
      </c>
      <c r="H85" s="1"/>
    </row>
    <row r="86" spans="3:8" x14ac:dyDescent="0.2">
      <c r="C86" s="351"/>
      <c r="D86" s="50" t="s">
        <v>71</v>
      </c>
      <c r="E86" s="10">
        <v>1</v>
      </c>
      <c r="F86" s="10">
        <v>1</v>
      </c>
      <c r="G86" s="75">
        <f t="shared" si="3"/>
        <v>1</v>
      </c>
      <c r="H86" s="1"/>
    </row>
    <row r="87" spans="3:8" ht="16" thickBot="1" x14ac:dyDescent="0.25">
      <c r="C87" s="351"/>
      <c r="D87" s="50" t="s">
        <v>72</v>
      </c>
      <c r="E87" s="10">
        <v>1</v>
      </c>
      <c r="F87" s="10">
        <v>10</v>
      </c>
      <c r="G87" s="75">
        <f t="shared" si="3"/>
        <v>10</v>
      </c>
      <c r="H87" s="1"/>
    </row>
    <row r="88" spans="3:8" ht="16" thickBot="1" x14ac:dyDescent="0.25">
      <c r="C88" s="352"/>
      <c r="D88" s="35"/>
      <c r="E88" s="36"/>
      <c r="F88" s="36"/>
      <c r="G88" s="186">
        <f>SUM(G73:G87)</f>
        <v>1031.8</v>
      </c>
      <c r="H88" s="1"/>
    </row>
    <row r="89" spans="3:8" x14ac:dyDescent="0.2">
      <c r="E89" s="1"/>
      <c r="F89" s="1"/>
      <c r="G89" s="199"/>
      <c r="H89" s="1"/>
    </row>
    <row r="90" spans="3:8" ht="16" thickBot="1" x14ac:dyDescent="0.25">
      <c r="E90" s="3" t="s">
        <v>4</v>
      </c>
      <c r="F90" s="1"/>
      <c r="G90" s="195" t="s">
        <v>5</v>
      </c>
      <c r="H90" s="1"/>
    </row>
    <row r="91" spans="3:8" ht="15" customHeight="1" x14ac:dyDescent="0.2">
      <c r="C91" s="350" t="s">
        <v>73</v>
      </c>
      <c r="D91" s="52" t="s">
        <v>74</v>
      </c>
      <c r="E91" s="6"/>
      <c r="F91" s="6"/>
      <c r="G91" s="76">
        <v>15</v>
      </c>
      <c r="H91" s="1"/>
    </row>
    <row r="92" spans="3:8" x14ac:dyDescent="0.2">
      <c r="C92" s="351"/>
      <c r="D92" s="18" t="s">
        <v>75</v>
      </c>
      <c r="E92" s="10"/>
      <c r="F92" s="10"/>
      <c r="G92" s="200">
        <v>10</v>
      </c>
      <c r="H92" s="1"/>
    </row>
    <row r="93" spans="3:8" x14ac:dyDescent="0.2">
      <c r="C93" s="351"/>
      <c r="D93" s="18" t="s">
        <v>76</v>
      </c>
      <c r="E93" s="10"/>
      <c r="F93" s="10"/>
      <c r="G93" s="200">
        <v>5</v>
      </c>
      <c r="H93" s="1"/>
    </row>
    <row r="94" spans="3:8" x14ac:dyDescent="0.2">
      <c r="C94" s="351"/>
      <c r="D94" s="50" t="s">
        <v>77</v>
      </c>
      <c r="E94" s="10">
        <v>1</v>
      </c>
      <c r="F94" s="10">
        <v>200</v>
      </c>
      <c r="G94" s="201">
        <f t="shared" ref="G94" si="4">F94*E94</f>
        <v>200</v>
      </c>
      <c r="H94" s="1"/>
    </row>
    <row r="95" spans="3:8" x14ac:dyDescent="0.2">
      <c r="C95" s="351"/>
      <c r="D95" s="18" t="s">
        <v>78</v>
      </c>
      <c r="E95" s="10"/>
      <c r="F95" s="10"/>
      <c r="G95" s="200">
        <v>30</v>
      </c>
      <c r="H95" s="1"/>
    </row>
    <row r="96" spans="3:8" x14ac:dyDescent="0.2">
      <c r="C96" s="351"/>
      <c r="D96" s="18" t="s">
        <v>79</v>
      </c>
      <c r="E96" s="10"/>
      <c r="F96" s="10"/>
      <c r="G96" s="200">
        <v>180</v>
      </c>
      <c r="H96" s="1"/>
    </row>
    <row r="97" spans="3:9" x14ac:dyDescent="0.2">
      <c r="C97" s="351"/>
      <c r="D97" s="18"/>
      <c r="E97" s="10"/>
      <c r="F97" s="10"/>
      <c r="G97" s="200">
        <v>0</v>
      </c>
      <c r="H97" s="1"/>
    </row>
    <row r="98" spans="3:9" x14ac:dyDescent="0.2">
      <c r="C98" s="351"/>
      <c r="D98" s="18"/>
      <c r="E98" s="10"/>
      <c r="F98" s="10"/>
      <c r="G98" s="192"/>
      <c r="H98" s="1"/>
    </row>
    <row r="99" spans="3:9" ht="16" thickBot="1" x14ac:dyDescent="0.25">
      <c r="C99" s="351"/>
      <c r="D99" s="18" t="s">
        <v>80</v>
      </c>
      <c r="E99" s="10"/>
      <c r="F99" s="10"/>
      <c r="G99" s="192">
        <v>15</v>
      </c>
      <c r="H99" s="1"/>
    </row>
    <row r="100" spans="3:9" ht="16" thickBot="1" x14ac:dyDescent="0.25">
      <c r="C100" s="352"/>
      <c r="D100" s="35"/>
      <c r="E100" s="36"/>
      <c r="F100" s="36"/>
      <c r="G100" s="186">
        <f>SUM(G91:G99)</f>
        <v>455</v>
      </c>
      <c r="H100" s="1"/>
    </row>
    <row r="101" spans="3:9" x14ac:dyDescent="0.2">
      <c r="E101" s="1"/>
      <c r="F101" s="1"/>
      <c r="G101" s="199"/>
      <c r="H101" s="1"/>
    </row>
    <row r="102" spans="3:9" x14ac:dyDescent="0.2">
      <c r="E102" s="1"/>
      <c r="F102" s="1"/>
      <c r="G102" s="199"/>
      <c r="H102" s="1"/>
    </row>
    <row r="103" spans="3:9" ht="16" thickBot="1" x14ac:dyDescent="0.25">
      <c r="E103" s="3" t="s">
        <v>4</v>
      </c>
      <c r="F103" s="1"/>
      <c r="G103" s="195" t="s">
        <v>5</v>
      </c>
      <c r="H103" s="1"/>
    </row>
    <row r="104" spans="3:9" ht="15" customHeight="1" x14ac:dyDescent="0.2">
      <c r="C104" s="350" t="s">
        <v>81</v>
      </c>
      <c r="D104" s="58" t="s">
        <v>82</v>
      </c>
      <c r="E104" s="6">
        <v>1</v>
      </c>
      <c r="F104" s="6">
        <v>120</v>
      </c>
      <c r="G104" s="76">
        <v>95</v>
      </c>
      <c r="H104" s="51"/>
      <c r="I104" t="s">
        <v>83</v>
      </c>
    </row>
    <row r="105" spans="3:9" x14ac:dyDescent="0.2">
      <c r="C105" s="351"/>
      <c r="D105" s="60" t="s">
        <v>84</v>
      </c>
      <c r="E105" s="10">
        <v>6</v>
      </c>
      <c r="F105" s="10">
        <v>10</v>
      </c>
      <c r="G105" s="200">
        <f t="shared" ref="G105:G109" si="5">E105*F105</f>
        <v>60</v>
      </c>
      <c r="H105" s="1"/>
    </row>
    <row r="106" spans="3:9" x14ac:dyDescent="0.2">
      <c r="C106" s="351"/>
      <c r="D106" s="13" t="s">
        <v>85</v>
      </c>
      <c r="E106" s="10">
        <v>0</v>
      </c>
      <c r="F106" s="10">
        <v>15</v>
      </c>
      <c r="G106" s="200">
        <f t="shared" si="5"/>
        <v>0</v>
      </c>
      <c r="H106" s="1"/>
    </row>
    <row r="107" spans="3:9" x14ac:dyDescent="0.2">
      <c r="C107" s="351"/>
      <c r="D107" s="13" t="s">
        <v>86</v>
      </c>
      <c r="E107" s="10">
        <v>0</v>
      </c>
      <c r="F107" s="10">
        <v>15</v>
      </c>
      <c r="G107" s="200">
        <f t="shared" si="5"/>
        <v>0</v>
      </c>
      <c r="H107" s="1"/>
    </row>
    <row r="108" spans="3:9" x14ac:dyDescent="0.2">
      <c r="C108" s="351"/>
      <c r="D108" s="13" t="s">
        <v>87</v>
      </c>
      <c r="E108" s="10">
        <v>1</v>
      </c>
      <c r="F108" s="10">
        <v>20</v>
      </c>
      <c r="G108" s="200">
        <f t="shared" si="5"/>
        <v>20</v>
      </c>
      <c r="H108" s="1"/>
    </row>
    <row r="109" spans="3:9" ht="16" thickBot="1" x14ac:dyDescent="0.25">
      <c r="C109" s="351"/>
      <c r="D109" s="16" t="s">
        <v>88</v>
      </c>
      <c r="E109" s="10">
        <v>0</v>
      </c>
      <c r="F109" s="10">
        <v>50</v>
      </c>
      <c r="G109" s="200">
        <f t="shared" si="5"/>
        <v>0</v>
      </c>
      <c r="H109" s="1"/>
    </row>
    <row r="110" spans="3:9" ht="16" thickBot="1" x14ac:dyDescent="0.25">
      <c r="C110" s="352"/>
      <c r="D110" s="35"/>
      <c r="E110" s="36"/>
      <c r="F110" s="36"/>
      <c r="G110" s="186">
        <f>SUM(G104:G109)</f>
        <v>175</v>
      </c>
      <c r="H110" s="1"/>
    </row>
    <row r="111" spans="3:9" x14ac:dyDescent="0.2">
      <c r="E111" s="1"/>
      <c r="F111" s="1"/>
      <c r="G111" s="2"/>
      <c r="H111" s="1"/>
    </row>
    <row r="112" spans="3:9" x14ac:dyDescent="0.2">
      <c r="E112" s="1"/>
      <c r="F112" s="1"/>
      <c r="G112" s="2"/>
      <c r="H112" s="1"/>
    </row>
    <row r="113" spans="4:8" x14ac:dyDescent="0.2">
      <c r="E113" s="1"/>
      <c r="F113" s="1"/>
      <c r="G113" s="2"/>
      <c r="H113" s="1"/>
    </row>
    <row r="114" spans="4:8" x14ac:dyDescent="0.2">
      <c r="E114" s="1"/>
      <c r="F114" s="1"/>
      <c r="G114" s="2"/>
      <c r="H114" s="1"/>
    </row>
    <row r="115" spans="4:8" x14ac:dyDescent="0.2">
      <c r="E115" s="1"/>
      <c r="F115" s="1"/>
      <c r="G115" s="2"/>
      <c r="H115" s="1"/>
    </row>
    <row r="116" spans="4:8" ht="16" thickBot="1" x14ac:dyDescent="0.25">
      <c r="E116" s="1"/>
      <c r="F116" s="1"/>
      <c r="G116" s="2"/>
      <c r="H116" s="1"/>
    </row>
    <row r="117" spans="4:8" ht="16" thickBot="1" x14ac:dyDescent="0.25">
      <c r="D117" s="5" t="s">
        <v>89</v>
      </c>
      <c r="E117" s="1"/>
      <c r="F117" s="1"/>
      <c r="G117" s="37">
        <f>G110+G100+G88+G68+G48+G35</f>
        <v>8521.3150000000005</v>
      </c>
      <c r="H117" s="1"/>
    </row>
    <row r="118" spans="4:8" ht="16" thickBot="1" x14ac:dyDescent="0.25">
      <c r="D118" t="s">
        <v>90</v>
      </c>
      <c r="E118" s="1"/>
      <c r="F118" s="1"/>
      <c r="G118" s="2">
        <v>1000</v>
      </c>
      <c r="H118" s="1"/>
    </row>
    <row r="119" spans="4:8" ht="16" thickBot="1" x14ac:dyDescent="0.25">
      <c r="D119" s="5" t="s">
        <v>91</v>
      </c>
      <c r="E119" s="1"/>
      <c r="F119" s="1"/>
      <c r="G119" s="37">
        <f>2100+200</f>
        <v>2300</v>
      </c>
      <c r="H119" s="1"/>
    </row>
    <row r="120" spans="4:8" ht="16" thickBot="1" x14ac:dyDescent="0.25">
      <c r="D120" t="s">
        <v>92</v>
      </c>
      <c r="E120" s="1"/>
      <c r="F120" s="1"/>
      <c r="G120" s="2">
        <v>250</v>
      </c>
      <c r="H120" s="1"/>
    </row>
    <row r="121" spans="4:8" ht="16" thickBot="1" x14ac:dyDescent="0.25">
      <c r="D121" s="5" t="s">
        <v>93</v>
      </c>
      <c r="E121" s="1"/>
      <c r="F121" s="1"/>
      <c r="G121" s="37">
        <f>0.1*(G117+G119+G118+G120)</f>
        <v>1207.1315000000002</v>
      </c>
      <c r="H121" s="1"/>
    </row>
    <row r="122" spans="4:8" ht="16" thickBot="1" x14ac:dyDescent="0.25">
      <c r="E122" s="1"/>
      <c r="F122" s="1"/>
      <c r="G122" s="2"/>
      <c r="H122" s="1"/>
    </row>
    <row r="123" spans="4:8" ht="16" thickBot="1" x14ac:dyDescent="0.25">
      <c r="D123" s="5" t="s">
        <v>94</v>
      </c>
      <c r="E123" s="1"/>
      <c r="F123" s="1"/>
      <c r="G123" s="37">
        <f>G117+G119+G121+G120+G118</f>
        <v>13278.4465</v>
      </c>
      <c r="H123" s="1"/>
    </row>
    <row r="124" spans="4:8" x14ac:dyDescent="0.2">
      <c r="E124" s="1"/>
      <c r="F124" s="1"/>
      <c r="G124" s="2"/>
      <c r="H124" s="1"/>
    </row>
    <row r="125" spans="4:8" ht="16" thickBot="1" x14ac:dyDescent="0.25">
      <c r="E125" s="1"/>
      <c r="F125" s="1"/>
      <c r="G125" s="2"/>
      <c r="H125" s="1"/>
    </row>
    <row r="126" spans="4:8" ht="16" thickBot="1" x14ac:dyDescent="0.25">
      <c r="D126" s="5" t="s">
        <v>95</v>
      </c>
      <c r="E126" s="37">
        <f>G117</f>
        <v>8521.3150000000005</v>
      </c>
      <c r="F126" s="1"/>
      <c r="G126" s="2"/>
      <c r="H126" s="1"/>
    </row>
    <row r="127" spans="4:8" ht="16" thickBot="1" x14ac:dyDescent="0.25">
      <c r="D127" s="5" t="s">
        <v>96</v>
      </c>
      <c r="E127" s="37">
        <v>1000</v>
      </c>
      <c r="F127" s="1"/>
      <c r="G127" s="2"/>
      <c r="H127" s="1"/>
    </row>
    <row r="128" spans="4:8" ht="16" thickBot="1" x14ac:dyDescent="0.25">
      <c r="D128" s="5" t="s">
        <v>97</v>
      </c>
      <c r="E128" s="37">
        <f>G119</f>
        <v>2300</v>
      </c>
      <c r="F128" s="63">
        <f>E128/G123</f>
        <v>0.17321303361805163</v>
      </c>
      <c r="G128" s="2"/>
      <c r="H128" s="1"/>
    </row>
    <row r="129" spans="4:8" ht="16" thickBot="1" x14ac:dyDescent="0.25">
      <c r="D129" s="5" t="s">
        <v>98</v>
      </c>
      <c r="E129" s="37">
        <v>250</v>
      </c>
      <c r="F129" s="63"/>
      <c r="G129" s="2"/>
      <c r="H129" s="1"/>
    </row>
    <row r="130" spans="4:8" ht="16" thickBot="1" x14ac:dyDescent="0.25">
      <c r="D130" s="5" t="s">
        <v>99</v>
      </c>
      <c r="E130" s="37">
        <f>G121</f>
        <v>1207.1315000000002</v>
      </c>
      <c r="F130" s="1"/>
      <c r="G130" s="2"/>
      <c r="H130" s="1"/>
    </row>
    <row r="131" spans="4:8" x14ac:dyDescent="0.2">
      <c r="E131" s="1"/>
      <c r="F131" s="1"/>
      <c r="G131" s="2"/>
      <c r="H131" s="1"/>
    </row>
    <row r="132" spans="4:8" x14ac:dyDescent="0.2">
      <c r="E132" s="64">
        <f>SUM(E126:E130)</f>
        <v>13278.4465</v>
      </c>
      <c r="F132" s="1"/>
      <c r="G132" s="2"/>
      <c r="H132" s="1"/>
    </row>
    <row r="133" spans="4:8" x14ac:dyDescent="0.2">
      <c r="E133" s="1"/>
      <c r="F133" s="1"/>
      <c r="G133" s="2"/>
      <c r="H133" s="1"/>
    </row>
    <row r="134" spans="4:8" x14ac:dyDescent="0.2">
      <c r="E134" s="1"/>
      <c r="F134" s="1"/>
      <c r="G134" s="2"/>
      <c r="H134" s="1"/>
    </row>
    <row r="135" spans="4:8" x14ac:dyDescent="0.2">
      <c r="E135" s="1"/>
      <c r="F135" s="1"/>
      <c r="G135" s="2"/>
      <c r="H135" s="1"/>
    </row>
    <row r="136" spans="4:8" x14ac:dyDescent="0.2">
      <c r="E136" s="1"/>
      <c r="F136" s="1"/>
      <c r="G136" s="2"/>
      <c r="H136" s="1"/>
    </row>
    <row r="137" spans="4:8" x14ac:dyDescent="0.2">
      <c r="E137" s="1"/>
      <c r="F137" s="1"/>
      <c r="G137" s="2"/>
      <c r="H137" s="1"/>
    </row>
    <row r="138" spans="4:8" ht="16" thickBot="1" x14ac:dyDescent="0.25">
      <c r="E138" s="1"/>
      <c r="F138" s="1"/>
      <c r="G138" s="2"/>
      <c r="H138" s="1"/>
    </row>
    <row r="139" spans="4:8" ht="16" thickBot="1" x14ac:dyDescent="0.25">
      <c r="D139" s="65" t="s">
        <v>100</v>
      </c>
      <c r="E139" s="37">
        <f>G35</f>
        <v>4532.4750000000004</v>
      </c>
      <c r="F139" s="1"/>
      <c r="G139" s="2"/>
      <c r="H139" s="1"/>
    </row>
    <row r="140" spans="4:8" ht="16" thickBot="1" x14ac:dyDescent="0.25">
      <c r="D140" s="66" t="s">
        <v>101</v>
      </c>
      <c r="E140" s="37">
        <f>G48</f>
        <v>325</v>
      </c>
      <c r="F140" s="1"/>
      <c r="G140" s="2"/>
      <c r="H140" s="1"/>
    </row>
    <row r="141" spans="4:8" ht="16" thickBot="1" x14ac:dyDescent="0.25">
      <c r="D141" s="67" t="s">
        <v>102</v>
      </c>
      <c r="E141" s="37">
        <f>G68</f>
        <v>2002.0399999999997</v>
      </c>
      <c r="F141" s="1"/>
      <c r="G141" s="2"/>
      <c r="H141" s="1"/>
    </row>
    <row r="142" spans="4:8" ht="16" thickBot="1" x14ac:dyDescent="0.25">
      <c r="D142" s="68" t="s">
        <v>103</v>
      </c>
      <c r="E142" s="37">
        <f>G88</f>
        <v>1031.8</v>
      </c>
      <c r="F142" s="1"/>
      <c r="G142" s="2"/>
      <c r="H142" s="1"/>
    </row>
    <row r="143" spans="4:8" ht="16" thickBot="1" x14ac:dyDescent="0.25">
      <c r="D143" s="69" t="s">
        <v>104</v>
      </c>
      <c r="E143" s="37">
        <f>G100</f>
        <v>455</v>
      </c>
      <c r="F143" s="1"/>
      <c r="G143" s="2"/>
      <c r="H143" s="1"/>
    </row>
    <row r="144" spans="4:8" ht="16" thickBot="1" x14ac:dyDescent="0.25">
      <c r="D144" s="5" t="s">
        <v>105</v>
      </c>
      <c r="E144" s="37">
        <f>G110</f>
        <v>175</v>
      </c>
      <c r="F144" s="1"/>
      <c r="G144" s="2"/>
      <c r="H144" s="1"/>
    </row>
    <row r="145" spans="5:8" x14ac:dyDescent="0.2">
      <c r="E145" s="1"/>
      <c r="F145" s="1"/>
      <c r="G145" s="2"/>
      <c r="H145" s="1"/>
    </row>
    <row r="146" spans="5:8" x14ac:dyDescent="0.2">
      <c r="E146" s="64">
        <f>SUM(E139:E145)</f>
        <v>8521.3150000000005</v>
      </c>
      <c r="F146" s="1"/>
      <c r="G146" s="2"/>
      <c r="H146" s="1"/>
    </row>
  </sheetData>
  <mergeCells count="7">
    <mergeCell ref="C104:C110"/>
    <mergeCell ref="C5:C35"/>
    <mergeCell ref="H27:I31"/>
    <mergeCell ref="C38:C48"/>
    <mergeCell ref="C51:C68"/>
    <mergeCell ref="C72:C88"/>
    <mergeCell ref="C91:C100"/>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3:I146"/>
  <sheetViews>
    <sheetView topLeftCell="A52" workbookViewId="0">
      <selection activeCell="I12" sqref="I12"/>
    </sheetView>
  </sheetViews>
  <sheetFormatPr baseColWidth="10" defaultColWidth="8.83203125" defaultRowHeight="15" x14ac:dyDescent="0.2"/>
  <cols>
    <col min="4" max="4" width="49.33203125" bestFit="1" customWidth="1"/>
    <col min="9" max="9" width="35.6640625" bestFit="1" customWidth="1"/>
  </cols>
  <sheetData>
    <row r="3" spans="3:8" x14ac:dyDescent="0.2">
      <c r="E3" s="1"/>
      <c r="F3" s="1"/>
      <c r="G3" s="2"/>
      <c r="H3" s="1"/>
    </row>
    <row r="4" spans="3:8" ht="16" thickBot="1" x14ac:dyDescent="0.25">
      <c r="E4" s="3" t="s">
        <v>4</v>
      </c>
      <c r="F4" s="1"/>
      <c r="G4" s="4" t="s">
        <v>5</v>
      </c>
      <c r="H4" s="1"/>
    </row>
    <row r="5" spans="3:8" ht="16" thickBot="1" x14ac:dyDescent="0.25">
      <c r="C5" s="353" t="s">
        <v>6</v>
      </c>
      <c r="D5" s="5" t="s">
        <v>7</v>
      </c>
      <c r="E5" s="6"/>
      <c r="F5" s="6"/>
      <c r="G5" s="7"/>
      <c r="H5" s="1"/>
    </row>
    <row r="6" spans="3:8" x14ac:dyDescent="0.2">
      <c r="C6" s="354"/>
      <c r="D6" s="8" t="s">
        <v>8</v>
      </c>
      <c r="E6" s="9">
        <v>70</v>
      </c>
      <c r="F6" s="10" t="s">
        <v>9</v>
      </c>
      <c r="G6" s="11">
        <f>15*E6</f>
        <v>1050</v>
      </c>
      <c r="H6" s="1"/>
    </row>
    <row r="7" spans="3:8" ht="16" thickBot="1" x14ac:dyDescent="0.25">
      <c r="C7" s="354"/>
      <c r="D7" s="12" t="s">
        <v>10</v>
      </c>
      <c r="E7" s="9">
        <v>120</v>
      </c>
      <c r="F7" s="10" t="s">
        <v>9</v>
      </c>
      <c r="G7" s="11">
        <f>0.8*E7</f>
        <v>96</v>
      </c>
      <c r="H7" s="1"/>
    </row>
    <row r="8" spans="3:8" ht="16" thickBot="1" x14ac:dyDescent="0.25">
      <c r="C8" s="354"/>
      <c r="D8" s="13"/>
      <c r="E8" s="10"/>
      <c r="F8" s="10"/>
      <c r="G8" s="14">
        <f>SUM(G6:G7)</f>
        <v>1146</v>
      </c>
      <c r="H8" s="1"/>
    </row>
    <row r="9" spans="3:8" ht="16" thickBot="1" x14ac:dyDescent="0.25">
      <c r="C9" s="354"/>
      <c r="D9" s="13"/>
      <c r="E9" s="10"/>
      <c r="F9" s="10"/>
      <c r="G9" s="11"/>
      <c r="H9" s="1"/>
    </row>
    <row r="10" spans="3:8" ht="16" thickBot="1" x14ac:dyDescent="0.25">
      <c r="C10" s="354"/>
      <c r="D10" s="5" t="s">
        <v>11</v>
      </c>
      <c r="E10" s="10"/>
      <c r="F10" s="10"/>
      <c r="G10" s="15"/>
      <c r="H10" s="1"/>
    </row>
    <row r="11" spans="3:8" ht="16" thickBot="1" x14ac:dyDescent="0.25">
      <c r="C11" s="354"/>
      <c r="D11" s="16" t="s">
        <v>12</v>
      </c>
      <c r="E11" s="10"/>
      <c r="F11" s="10"/>
      <c r="G11" s="17">
        <v>350</v>
      </c>
      <c r="H11" s="1"/>
    </row>
    <row r="12" spans="3:8" ht="16" thickBot="1" x14ac:dyDescent="0.25">
      <c r="C12" s="354"/>
      <c r="D12" s="5" t="s">
        <v>13</v>
      </c>
      <c r="E12" s="10"/>
      <c r="F12" s="10"/>
      <c r="G12" s="11"/>
      <c r="H12" s="1" t="s">
        <v>14</v>
      </c>
    </row>
    <row r="13" spans="3:8" x14ac:dyDescent="0.2">
      <c r="C13" s="354"/>
      <c r="D13" s="18" t="s">
        <v>15</v>
      </c>
      <c r="E13" s="19">
        <v>3</v>
      </c>
      <c r="F13" s="20">
        <v>198</v>
      </c>
      <c r="G13" s="21">
        <f>E13*F13</f>
        <v>594</v>
      </c>
      <c r="H13" s="1"/>
    </row>
    <row r="14" spans="3:8" x14ac:dyDescent="0.2">
      <c r="C14" s="354"/>
      <c r="D14" s="18" t="s">
        <v>16</v>
      </c>
      <c r="E14" s="22">
        <v>1</v>
      </c>
      <c r="F14" s="20">
        <v>144</v>
      </c>
      <c r="G14" s="21">
        <f t="shared" ref="G14:G15" si="0">E14*F14</f>
        <v>144</v>
      </c>
      <c r="H14" s="1">
        <v>122.7</v>
      </c>
    </row>
    <row r="15" spans="3:8" x14ac:dyDescent="0.2">
      <c r="C15" s="354"/>
      <c r="D15" s="18" t="s">
        <v>17</v>
      </c>
      <c r="E15" s="22">
        <v>2</v>
      </c>
      <c r="F15" s="20">
        <v>131</v>
      </c>
      <c r="G15" s="21">
        <f t="shared" si="0"/>
        <v>262</v>
      </c>
      <c r="H15" s="1">
        <v>245</v>
      </c>
    </row>
    <row r="16" spans="3:8" x14ac:dyDescent="0.2">
      <c r="C16" s="354"/>
      <c r="D16" s="18" t="s">
        <v>18</v>
      </c>
      <c r="E16" s="22">
        <v>1</v>
      </c>
      <c r="F16" s="10"/>
      <c r="G16" s="21">
        <v>22.1</v>
      </c>
      <c r="H16" s="1"/>
    </row>
    <row r="17" spans="3:9" x14ac:dyDescent="0.2">
      <c r="C17" s="354"/>
      <c r="D17" s="18" t="s">
        <v>19</v>
      </c>
      <c r="E17" s="22">
        <v>1</v>
      </c>
      <c r="F17" s="10"/>
      <c r="G17" s="21">
        <v>194.39999999999998</v>
      </c>
      <c r="H17" s="1"/>
    </row>
    <row r="18" spans="3:9" x14ac:dyDescent="0.2">
      <c r="C18" s="354"/>
      <c r="D18" s="18" t="s">
        <v>20</v>
      </c>
      <c r="E18" s="22">
        <v>2</v>
      </c>
      <c r="F18" s="10"/>
      <c r="G18" s="21">
        <v>61.2</v>
      </c>
      <c r="H18" s="1"/>
      <c r="I18" s="1"/>
    </row>
    <row r="19" spans="3:9" x14ac:dyDescent="0.2">
      <c r="C19" s="354"/>
      <c r="D19" s="18" t="s">
        <v>21</v>
      </c>
      <c r="E19" s="22">
        <v>2</v>
      </c>
      <c r="F19" s="10"/>
      <c r="G19" s="21">
        <v>23.6</v>
      </c>
      <c r="H19" s="1"/>
      <c r="I19" s="1"/>
    </row>
    <row r="20" spans="3:9" x14ac:dyDescent="0.2">
      <c r="C20" s="354"/>
      <c r="D20" s="18" t="s">
        <v>22</v>
      </c>
      <c r="E20" s="22">
        <v>1</v>
      </c>
      <c r="F20" s="10"/>
      <c r="G20" s="21">
        <v>85</v>
      </c>
      <c r="H20" s="1"/>
      <c r="I20" s="1"/>
    </row>
    <row r="21" spans="3:9" x14ac:dyDescent="0.2">
      <c r="C21" s="354"/>
      <c r="D21" s="18" t="s">
        <v>23</v>
      </c>
      <c r="E21" s="22">
        <v>3</v>
      </c>
      <c r="F21" s="10"/>
      <c r="G21" s="21">
        <v>145.43999999999997</v>
      </c>
      <c r="H21" s="1"/>
      <c r="I21" s="1"/>
    </row>
    <row r="22" spans="3:9" ht="16" thickBot="1" x14ac:dyDescent="0.25">
      <c r="C22" s="354"/>
      <c r="D22" s="23" t="s">
        <v>24</v>
      </c>
      <c r="E22" s="24">
        <v>1</v>
      </c>
      <c r="F22" s="10"/>
      <c r="G22" s="25">
        <v>50</v>
      </c>
      <c r="H22" s="1"/>
      <c r="I22" s="1"/>
    </row>
    <row r="23" spans="3:9" ht="16" thickBot="1" x14ac:dyDescent="0.25">
      <c r="C23" s="354"/>
      <c r="D23" s="13"/>
      <c r="E23" s="10"/>
      <c r="F23" s="10"/>
      <c r="G23" s="26">
        <f>SUM(G16:G22)+G13+H14+H15</f>
        <v>1543.44</v>
      </c>
      <c r="H23" s="1"/>
      <c r="I23" s="1"/>
    </row>
    <row r="24" spans="3:9" ht="16" thickBot="1" x14ac:dyDescent="0.25">
      <c r="C24" s="354"/>
      <c r="D24" s="5" t="s">
        <v>25</v>
      </c>
      <c r="E24" s="10">
        <v>0</v>
      </c>
      <c r="F24" s="10"/>
      <c r="G24" s="27">
        <v>0</v>
      </c>
      <c r="H24" s="1"/>
      <c r="I24" s="1"/>
    </row>
    <row r="25" spans="3:9" ht="16" thickBot="1" x14ac:dyDescent="0.25">
      <c r="C25" s="354"/>
      <c r="D25" s="13"/>
      <c r="E25" s="10"/>
      <c r="F25" s="10"/>
      <c r="G25" s="28"/>
      <c r="H25" s="1"/>
      <c r="I25" s="1"/>
    </row>
    <row r="26" spans="3:9" ht="16" thickBot="1" x14ac:dyDescent="0.25">
      <c r="C26" s="354"/>
      <c r="D26" s="5" t="s">
        <v>26</v>
      </c>
      <c r="E26" s="10"/>
      <c r="F26" s="10"/>
      <c r="G26" s="28"/>
      <c r="H26" s="1"/>
      <c r="I26" s="1"/>
    </row>
    <row r="27" spans="3:9" x14ac:dyDescent="0.2">
      <c r="C27" s="354"/>
      <c r="D27" s="18" t="s">
        <v>27</v>
      </c>
      <c r="E27" s="10">
        <v>57</v>
      </c>
      <c r="F27" s="10">
        <f>F28*1.2</f>
        <v>36</v>
      </c>
      <c r="G27" s="29">
        <f>F27*E27</f>
        <v>2052</v>
      </c>
      <c r="H27" s="356" t="s">
        <v>28</v>
      </c>
      <c r="I27" s="357"/>
    </row>
    <row r="28" spans="3:9" x14ac:dyDescent="0.2">
      <c r="C28" s="354"/>
      <c r="D28" s="18" t="s">
        <v>29</v>
      </c>
      <c r="E28" s="10">
        <v>1.5</v>
      </c>
      <c r="F28" s="10">
        <v>30</v>
      </c>
      <c r="G28" s="29">
        <f>F28*E28</f>
        <v>45</v>
      </c>
      <c r="H28" s="358"/>
      <c r="I28" s="359"/>
    </row>
    <row r="29" spans="3:9" x14ac:dyDescent="0.2">
      <c r="C29" s="354"/>
      <c r="D29" s="18" t="s">
        <v>30</v>
      </c>
      <c r="E29" s="10">
        <v>57</v>
      </c>
      <c r="F29" s="10">
        <v>7.2</v>
      </c>
      <c r="G29" s="29">
        <f>F29*E29</f>
        <v>410.40000000000003</v>
      </c>
      <c r="H29" s="358"/>
      <c r="I29" s="359"/>
    </row>
    <row r="30" spans="3:9" ht="16" thickBot="1" x14ac:dyDescent="0.25">
      <c r="C30" s="354"/>
      <c r="D30" s="23" t="s">
        <v>31</v>
      </c>
      <c r="E30" s="10"/>
      <c r="F30" s="10"/>
      <c r="G30" s="29">
        <v>50</v>
      </c>
      <c r="H30" s="358"/>
      <c r="I30" s="359"/>
    </row>
    <row r="31" spans="3:9" ht="16" thickBot="1" x14ac:dyDescent="0.25">
      <c r="C31" s="354"/>
      <c r="D31" s="13"/>
      <c r="E31" s="10"/>
      <c r="F31" s="10"/>
      <c r="G31" s="30">
        <f>SUM(G27:G30)</f>
        <v>2557.4</v>
      </c>
      <c r="H31" s="360"/>
      <c r="I31" s="361"/>
    </row>
    <row r="32" spans="3:9" ht="16" thickBot="1" x14ac:dyDescent="0.25">
      <c r="C32" s="354"/>
      <c r="D32" s="5" t="s">
        <v>32</v>
      </c>
      <c r="E32" s="10">
        <v>4</v>
      </c>
      <c r="F32" s="31">
        <v>10</v>
      </c>
      <c r="G32" s="32">
        <f>F32*E32</f>
        <v>40</v>
      </c>
      <c r="H32" s="1"/>
      <c r="I32" s="1"/>
    </row>
    <row r="33" spans="3:9" ht="16" thickBot="1" x14ac:dyDescent="0.25">
      <c r="C33" s="354"/>
      <c r="D33" s="5" t="s">
        <v>33</v>
      </c>
      <c r="E33" s="10">
        <v>1</v>
      </c>
      <c r="F33" s="10">
        <v>50</v>
      </c>
      <c r="G33" s="33">
        <v>30</v>
      </c>
      <c r="H33" s="1"/>
      <c r="I33" s="34"/>
    </row>
    <row r="34" spans="3:9" ht="16" thickBot="1" x14ac:dyDescent="0.25">
      <c r="C34" s="354"/>
      <c r="D34" s="13" t="s">
        <v>34</v>
      </c>
      <c r="E34" s="10"/>
      <c r="F34" s="10"/>
      <c r="G34" s="25">
        <v>50</v>
      </c>
      <c r="H34" s="1"/>
      <c r="I34" s="1"/>
    </row>
    <row r="35" spans="3:9" ht="16" thickBot="1" x14ac:dyDescent="0.25">
      <c r="C35" s="355"/>
      <c r="D35" s="35"/>
      <c r="E35" s="36"/>
      <c r="F35" s="36"/>
      <c r="G35" s="37">
        <f>G8+G23+G31+G32+G33+G11+G34</f>
        <v>5716.84</v>
      </c>
      <c r="H35" s="1"/>
      <c r="I35" s="1"/>
    </row>
    <row r="36" spans="3:9" x14ac:dyDescent="0.2">
      <c r="E36" s="1"/>
      <c r="F36" s="1"/>
      <c r="G36" s="38"/>
      <c r="H36" s="1"/>
      <c r="I36" s="1"/>
    </row>
    <row r="37" spans="3:9" ht="16" thickBot="1" x14ac:dyDescent="0.25">
      <c r="E37" s="3" t="s">
        <v>4</v>
      </c>
      <c r="F37" s="1"/>
      <c r="G37" s="4" t="s">
        <v>5</v>
      </c>
      <c r="H37" s="1"/>
      <c r="I37" s="1"/>
    </row>
    <row r="38" spans="3:9" ht="16" thickBot="1" x14ac:dyDescent="0.25">
      <c r="C38" s="350" t="s">
        <v>35</v>
      </c>
      <c r="D38" s="39" t="s">
        <v>36</v>
      </c>
      <c r="E38" s="6">
        <v>1</v>
      </c>
      <c r="F38" s="6">
        <v>40</v>
      </c>
      <c r="G38" s="40">
        <f>F38*E38</f>
        <v>40</v>
      </c>
      <c r="H38" s="1"/>
      <c r="I38" s="34"/>
    </row>
    <row r="39" spans="3:9" ht="16" thickBot="1" x14ac:dyDescent="0.25">
      <c r="C39" s="351"/>
      <c r="D39" s="39" t="s">
        <v>37</v>
      </c>
      <c r="E39" s="10">
        <v>1</v>
      </c>
      <c r="F39" s="10">
        <v>100</v>
      </c>
      <c r="G39" s="41">
        <f>F39*E39</f>
        <v>100</v>
      </c>
      <c r="H39" s="1"/>
      <c r="I39" s="1"/>
    </row>
    <row r="40" spans="3:9" ht="16" thickBot="1" x14ac:dyDescent="0.25">
      <c r="C40" s="351"/>
      <c r="D40" s="39" t="s">
        <v>38</v>
      </c>
      <c r="E40" s="10">
        <v>2</v>
      </c>
      <c r="F40" s="10">
        <v>30</v>
      </c>
      <c r="G40" s="42">
        <f>F40*E40</f>
        <v>60</v>
      </c>
      <c r="H40" s="1"/>
      <c r="I40" s="34"/>
    </row>
    <row r="41" spans="3:9" ht="16" thickBot="1" x14ac:dyDescent="0.25">
      <c r="C41" s="351"/>
      <c r="D41" s="39" t="s">
        <v>39</v>
      </c>
      <c r="E41" s="10">
        <v>1</v>
      </c>
      <c r="F41" s="10">
        <v>5</v>
      </c>
      <c r="G41" s="42">
        <f>F41*E41</f>
        <v>5</v>
      </c>
      <c r="H41" s="1"/>
      <c r="I41" s="1"/>
    </row>
    <row r="42" spans="3:9" x14ac:dyDescent="0.2">
      <c r="C42" s="351"/>
      <c r="D42" s="43" t="s">
        <v>40</v>
      </c>
      <c r="E42" s="10">
        <v>1</v>
      </c>
      <c r="F42" s="10">
        <v>20</v>
      </c>
      <c r="G42" s="44">
        <f>F42*E42</f>
        <v>20</v>
      </c>
      <c r="H42" s="1"/>
      <c r="I42" s="1"/>
    </row>
    <row r="43" spans="3:9" x14ac:dyDescent="0.2">
      <c r="C43" s="351"/>
      <c r="D43" s="43"/>
      <c r="E43" s="10">
        <v>0</v>
      </c>
      <c r="F43" s="10">
        <v>0</v>
      </c>
      <c r="G43" s="44">
        <f t="shared" ref="G43:G46" si="1">F43*E43</f>
        <v>0</v>
      </c>
      <c r="H43" s="1"/>
      <c r="I43" s="1"/>
    </row>
    <row r="44" spans="3:9" x14ac:dyDescent="0.2">
      <c r="C44" s="351"/>
      <c r="D44" s="43" t="s">
        <v>41</v>
      </c>
      <c r="E44" s="10">
        <v>0</v>
      </c>
      <c r="F44" s="10">
        <v>5</v>
      </c>
      <c r="G44" s="44">
        <f t="shared" si="1"/>
        <v>0</v>
      </c>
      <c r="H44" s="1"/>
      <c r="I44" s="1"/>
    </row>
    <row r="45" spans="3:9" x14ac:dyDescent="0.2">
      <c r="C45" s="351"/>
      <c r="D45" s="43" t="s">
        <v>42</v>
      </c>
      <c r="E45" s="10">
        <v>1</v>
      </c>
      <c r="F45" s="10">
        <v>150</v>
      </c>
      <c r="G45" s="44">
        <f t="shared" si="1"/>
        <v>150</v>
      </c>
      <c r="H45" s="1"/>
      <c r="I45" s="1"/>
    </row>
    <row r="46" spans="3:9" x14ac:dyDescent="0.2">
      <c r="C46" s="351"/>
      <c r="D46" s="43" t="s">
        <v>43</v>
      </c>
      <c r="E46" s="10">
        <v>1</v>
      </c>
      <c r="F46" s="10">
        <v>50</v>
      </c>
      <c r="G46" s="44">
        <f t="shared" si="1"/>
        <v>50</v>
      </c>
      <c r="H46" s="1"/>
      <c r="I46" s="1"/>
    </row>
    <row r="47" spans="3:9" ht="16" thickBot="1" x14ac:dyDescent="0.25">
      <c r="C47" s="351"/>
      <c r="D47" s="43"/>
      <c r="E47" s="10"/>
      <c r="F47" s="10"/>
      <c r="G47" s="45"/>
      <c r="H47" s="1"/>
    </row>
    <row r="48" spans="3:9" ht="16" thickBot="1" x14ac:dyDescent="0.25">
      <c r="C48" s="352"/>
      <c r="D48" s="46"/>
      <c r="E48" s="36"/>
      <c r="F48" s="36"/>
      <c r="G48" s="37">
        <f>G38+G39+G40+G41+G42+G43+G44+G45+G46</f>
        <v>425</v>
      </c>
      <c r="H48" s="1"/>
    </row>
    <row r="49" spans="3:8" x14ac:dyDescent="0.2">
      <c r="E49" s="1"/>
      <c r="F49" s="1"/>
      <c r="G49" s="2"/>
      <c r="H49" s="1"/>
    </row>
    <row r="50" spans="3:8" ht="16" thickBot="1" x14ac:dyDescent="0.25">
      <c r="E50" s="3" t="s">
        <v>4</v>
      </c>
      <c r="F50" s="1"/>
      <c r="G50" s="4" t="s">
        <v>5</v>
      </c>
      <c r="H50" s="1"/>
    </row>
    <row r="51" spans="3:8" ht="16" thickBot="1" x14ac:dyDescent="0.25">
      <c r="C51" s="350" t="s">
        <v>44</v>
      </c>
      <c r="D51" s="5" t="s">
        <v>45</v>
      </c>
      <c r="E51" s="6"/>
      <c r="F51" s="6"/>
      <c r="G51" s="7"/>
      <c r="H51" s="1"/>
    </row>
    <row r="52" spans="3:8" x14ac:dyDescent="0.2">
      <c r="C52" s="351"/>
      <c r="D52" s="18" t="s">
        <v>46</v>
      </c>
      <c r="E52" s="31">
        <v>15</v>
      </c>
      <c r="F52" s="10">
        <v>35</v>
      </c>
      <c r="G52" s="47">
        <f>F52*E52</f>
        <v>525</v>
      </c>
      <c r="H52" s="1"/>
    </row>
    <row r="53" spans="3:8" x14ac:dyDescent="0.2">
      <c r="C53" s="351"/>
      <c r="D53" s="18" t="s">
        <v>47</v>
      </c>
      <c r="E53" s="31">
        <v>15</v>
      </c>
      <c r="F53" s="10">
        <v>20</v>
      </c>
      <c r="G53" s="47">
        <f t="shared" ref="G53:G66" si="2">F53*E53</f>
        <v>300</v>
      </c>
      <c r="H53" s="1"/>
    </row>
    <row r="54" spans="3:8" x14ac:dyDescent="0.2">
      <c r="C54" s="351"/>
      <c r="D54" s="18" t="s">
        <v>48</v>
      </c>
      <c r="E54" s="31">
        <v>15</v>
      </c>
      <c r="F54" s="10">
        <v>16.5</v>
      </c>
      <c r="G54" s="47">
        <f t="shared" si="2"/>
        <v>247.5</v>
      </c>
      <c r="H54" s="1"/>
    </row>
    <row r="55" spans="3:8" x14ac:dyDescent="0.2">
      <c r="C55" s="351"/>
      <c r="D55" s="18" t="s">
        <v>49</v>
      </c>
      <c r="E55" s="31">
        <v>300</v>
      </c>
      <c r="F55" s="10">
        <v>2</v>
      </c>
      <c r="G55" s="47">
        <f t="shared" si="2"/>
        <v>600</v>
      </c>
      <c r="H55" s="1"/>
    </row>
    <row r="56" spans="3:8" x14ac:dyDescent="0.2">
      <c r="C56" s="351"/>
      <c r="D56" s="18" t="s">
        <v>50</v>
      </c>
      <c r="E56" s="31">
        <v>8</v>
      </c>
      <c r="F56" s="10">
        <v>1.5</v>
      </c>
      <c r="G56" s="47">
        <f t="shared" si="2"/>
        <v>12</v>
      </c>
      <c r="H56" s="1"/>
    </row>
    <row r="57" spans="3:8" x14ac:dyDescent="0.2">
      <c r="C57" s="351"/>
      <c r="D57" s="18" t="s">
        <v>51</v>
      </c>
      <c r="E57" s="31">
        <v>17</v>
      </c>
      <c r="F57" s="10">
        <v>0.3</v>
      </c>
      <c r="G57" s="47">
        <f t="shared" si="2"/>
        <v>5.0999999999999996</v>
      </c>
      <c r="H57" s="1"/>
    </row>
    <row r="58" spans="3:8" x14ac:dyDescent="0.2">
      <c r="C58" s="351"/>
      <c r="D58" s="18" t="s">
        <v>52</v>
      </c>
      <c r="E58" s="31">
        <f>3.45*E54+0.67*E56/8</f>
        <v>52.42</v>
      </c>
      <c r="F58" s="10">
        <v>2</v>
      </c>
      <c r="G58" s="47">
        <f t="shared" si="2"/>
        <v>104.84</v>
      </c>
      <c r="H58" s="1"/>
    </row>
    <row r="59" spans="3:8" x14ac:dyDescent="0.2">
      <c r="C59" s="351"/>
      <c r="D59" s="18" t="s">
        <v>53</v>
      </c>
      <c r="E59" s="31">
        <v>30</v>
      </c>
      <c r="F59" s="10">
        <v>0.42</v>
      </c>
      <c r="G59" s="47">
        <f t="shared" si="2"/>
        <v>12.6</v>
      </c>
      <c r="H59" s="1"/>
    </row>
    <row r="60" spans="3:8" ht="16" thickBot="1" x14ac:dyDescent="0.25">
      <c r="C60" s="351"/>
      <c r="D60" s="18" t="s">
        <v>54</v>
      </c>
      <c r="E60" s="31">
        <v>2</v>
      </c>
      <c r="F60" s="10">
        <v>2.5</v>
      </c>
      <c r="G60" s="47">
        <f t="shared" si="2"/>
        <v>5</v>
      </c>
      <c r="H60" s="1"/>
    </row>
    <row r="61" spans="3:8" ht="16" thickBot="1" x14ac:dyDescent="0.25">
      <c r="C61" s="351"/>
      <c r="D61" s="13"/>
      <c r="E61" s="10"/>
      <c r="F61" s="10" t="s">
        <v>55</v>
      </c>
      <c r="G61" s="26">
        <f>SUM(G52:G60)</f>
        <v>1812.0399999999997</v>
      </c>
      <c r="H61" s="1"/>
    </row>
    <row r="62" spans="3:8" ht="16" thickBot="1" x14ac:dyDescent="0.25">
      <c r="C62" s="351"/>
      <c r="D62" s="5" t="s">
        <v>56</v>
      </c>
      <c r="E62" s="10">
        <v>1</v>
      </c>
      <c r="F62" s="10">
        <v>100</v>
      </c>
      <c r="G62" s="32">
        <f t="shared" si="2"/>
        <v>100</v>
      </c>
      <c r="H62" s="1"/>
    </row>
    <row r="63" spans="3:8" ht="16" thickBot="1" x14ac:dyDescent="0.25">
      <c r="C63" s="351"/>
      <c r="D63" s="13"/>
      <c r="E63" s="10"/>
      <c r="F63" s="10"/>
      <c r="G63" s="28"/>
      <c r="H63" s="1"/>
    </row>
    <row r="64" spans="3:8" ht="16" thickBot="1" x14ac:dyDescent="0.25">
      <c r="C64" s="351"/>
      <c r="D64" s="5" t="s">
        <v>57</v>
      </c>
      <c r="E64" s="10">
        <v>1</v>
      </c>
      <c r="F64" s="10">
        <v>60</v>
      </c>
      <c r="G64" s="14">
        <f t="shared" si="2"/>
        <v>60</v>
      </c>
      <c r="H64" s="1"/>
    </row>
    <row r="65" spans="3:8" ht="16" thickBot="1" x14ac:dyDescent="0.25">
      <c r="C65" s="351"/>
      <c r="D65" s="13"/>
      <c r="E65" s="10"/>
      <c r="F65" s="10"/>
      <c r="G65" s="28"/>
      <c r="H65" s="1"/>
    </row>
    <row r="66" spans="3:8" ht="16" thickBot="1" x14ac:dyDescent="0.25">
      <c r="C66" s="351"/>
      <c r="D66" s="5" t="s">
        <v>58</v>
      </c>
      <c r="E66" s="10">
        <v>10</v>
      </c>
      <c r="F66" s="10">
        <v>3</v>
      </c>
      <c r="G66" s="14">
        <f t="shared" si="2"/>
        <v>30</v>
      </c>
      <c r="H66" s="1"/>
    </row>
    <row r="67" spans="3:8" ht="16" thickBot="1" x14ac:dyDescent="0.25">
      <c r="C67" s="351"/>
      <c r="D67" s="13"/>
      <c r="E67" s="10"/>
      <c r="F67" s="10"/>
      <c r="G67" s="28"/>
      <c r="H67" s="1"/>
    </row>
    <row r="68" spans="3:8" ht="16" thickBot="1" x14ac:dyDescent="0.25">
      <c r="C68" s="352"/>
      <c r="D68" s="35"/>
      <c r="E68" s="36"/>
      <c r="F68" s="36"/>
      <c r="G68" s="37">
        <f>G61+G62+G64+G66</f>
        <v>2002.0399999999997</v>
      </c>
      <c r="H68" s="1"/>
    </row>
    <row r="69" spans="3:8" x14ac:dyDescent="0.2">
      <c r="E69" s="1"/>
      <c r="F69" s="1"/>
      <c r="G69" s="2"/>
      <c r="H69" s="1"/>
    </row>
    <row r="70" spans="3:8" x14ac:dyDescent="0.2">
      <c r="E70" s="1"/>
      <c r="F70" s="1"/>
      <c r="G70" s="2"/>
      <c r="H70" s="1"/>
    </row>
    <row r="71" spans="3:8" ht="16" thickBot="1" x14ac:dyDescent="0.25">
      <c r="E71" s="3" t="s">
        <v>4</v>
      </c>
      <c r="F71" s="1"/>
      <c r="G71" s="4" t="s">
        <v>5</v>
      </c>
      <c r="H71" s="1"/>
    </row>
    <row r="72" spans="3:8" ht="15.75" customHeight="1" thickBot="1" x14ac:dyDescent="0.25">
      <c r="C72" s="350" t="s">
        <v>59</v>
      </c>
      <c r="D72" s="5" t="s">
        <v>60</v>
      </c>
      <c r="E72" s="6"/>
      <c r="F72" s="6"/>
      <c r="G72" s="7"/>
      <c r="H72" s="1"/>
    </row>
    <row r="73" spans="3:8" x14ac:dyDescent="0.2">
      <c r="C73" s="351"/>
      <c r="D73" s="8" t="s">
        <v>8</v>
      </c>
      <c r="E73" s="10">
        <v>50</v>
      </c>
      <c r="F73" s="10">
        <v>15</v>
      </c>
      <c r="G73" s="48">
        <f t="shared" ref="G73:G87" si="3">F73*E73</f>
        <v>750</v>
      </c>
      <c r="H73" s="1"/>
    </row>
    <row r="74" spans="3:8" x14ac:dyDescent="0.2">
      <c r="C74" s="362"/>
      <c r="D74" s="49" t="s">
        <v>10</v>
      </c>
      <c r="E74" s="10">
        <v>90</v>
      </c>
      <c r="F74" s="10">
        <v>0.8</v>
      </c>
      <c r="G74" s="48">
        <f t="shared" si="3"/>
        <v>72</v>
      </c>
      <c r="H74" s="1"/>
    </row>
    <row r="75" spans="3:8" x14ac:dyDescent="0.2">
      <c r="C75" s="351"/>
      <c r="D75" s="16" t="s">
        <v>61</v>
      </c>
      <c r="E75" s="10">
        <v>1</v>
      </c>
      <c r="F75" s="10">
        <v>60</v>
      </c>
      <c r="G75" s="48">
        <f t="shared" si="3"/>
        <v>60</v>
      </c>
      <c r="H75" s="1"/>
    </row>
    <row r="76" spans="3:8" x14ac:dyDescent="0.2">
      <c r="C76" s="351"/>
      <c r="D76" s="50" t="s">
        <v>62</v>
      </c>
      <c r="E76" s="10">
        <v>0</v>
      </c>
      <c r="F76" s="10">
        <v>50</v>
      </c>
      <c r="G76" s="48">
        <f t="shared" si="3"/>
        <v>0</v>
      </c>
      <c r="H76" s="1"/>
    </row>
    <row r="77" spans="3:8" x14ac:dyDescent="0.2">
      <c r="C77" s="351"/>
      <c r="D77" s="50" t="s">
        <v>63</v>
      </c>
      <c r="E77" s="10">
        <v>1</v>
      </c>
      <c r="F77" s="10">
        <v>30</v>
      </c>
      <c r="G77" s="48">
        <f t="shared" si="3"/>
        <v>30</v>
      </c>
      <c r="H77" s="1"/>
    </row>
    <row r="78" spans="3:8" x14ac:dyDescent="0.2">
      <c r="C78" s="351"/>
      <c r="D78" s="50" t="s">
        <v>64</v>
      </c>
      <c r="E78" s="10">
        <v>1</v>
      </c>
      <c r="F78" s="10">
        <v>20</v>
      </c>
      <c r="G78" s="48">
        <f t="shared" si="3"/>
        <v>20</v>
      </c>
      <c r="H78" s="1"/>
    </row>
    <row r="79" spans="3:8" x14ac:dyDescent="0.2">
      <c r="C79" s="351"/>
      <c r="D79" s="50" t="s">
        <v>65</v>
      </c>
      <c r="E79" s="10">
        <v>1</v>
      </c>
      <c r="F79" s="10">
        <v>25</v>
      </c>
      <c r="G79" s="48">
        <f t="shared" si="3"/>
        <v>25</v>
      </c>
      <c r="H79" s="1"/>
    </row>
    <row r="80" spans="3:8" x14ac:dyDescent="0.2">
      <c r="C80" s="351"/>
      <c r="D80" s="50" t="s">
        <v>66</v>
      </c>
      <c r="E80" s="10">
        <v>1</v>
      </c>
      <c r="F80" s="10">
        <v>20</v>
      </c>
      <c r="G80" s="48">
        <f t="shared" si="3"/>
        <v>20</v>
      </c>
      <c r="H80" s="1"/>
    </row>
    <row r="81" spans="3:8" x14ac:dyDescent="0.2">
      <c r="C81" s="351"/>
      <c r="D81" s="50"/>
      <c r="E81" s="10">
        <v>0</v>
      </c>
      <c r="F81" s="10">
        <v>200</v>
      </c>
      <c r="G81" s="11">
        <f t="shared" si="3"/>
        <v>0</v>
      </c>
      <c r="H81" s="51"/>
    </row>
    <row r="82" spans="3:8" x14ac:dyDescent="0.2">
      <c r="C82" s="351"/>
      <c r="D82" s="50" t="s">
        <v>67</v>
      </c>
      <c r="E82" s="10">
        <v>1</v>
      </c>
      <c r="F82" s="10">
        <v>0.8</v>
      </c>
      <c r="G82" s="48">
        <f t="shared" si="3"/>
        <v>0.8</v>
      </c>
      <c r="H82" s="1"/>
    </row>
    <row r="83" spans="3:8" x14ac:dyDescent="0.2">
      <c r="C83" s="351"/>
      <c r="D83" s="50" t="s">
        <v>68</v>
      </c>
      <c r="E83" s="10">
        <v>1</v>
      </c>
      <c r="F83" s="10">
        <v>30</v>
      </c>
      <c r="G83" s="48">
        <f t="shared" si="3"/>
        <v>30</v>
      </c>
      <c r="H83" s="1"/>
    </row>
    <row r="84" spans="3:8" x14ac:dyDescent="0.2">
      <c r="C84" s="351"/>
      <c r="D84" s="50" t="s">
        <v>69</v>
      </c>
      <c r="E84" s="10">
        <v>1</v>
      </c>
      <c r="F84" s="10">
        <v>8</v>
      </c>
      <c r="G84" s="48">
        <f t="shared" si="3"/>
        <v>8</v>
      </c>
      <c r="H84" s="1"/>
    </row>
    <row r="85" spans="3:8" x14ac:dyDescent="0.2">
      <c r="C85" s="351"/>
      <c r="D85" s="50" t="s">
        <v>70</v>
      </c>
      <c r="E85" s="10">
        <v>1</v>
      </c>
      <c r="F85" s="10">
        <v>5</v>
      </c>
      <c r="G85" s="48">
        <f t="shared" si="3"/>
        <v>5</v>
      </c>
      <c r="H85" s="1"/>
    </row>
    <row r="86" spans="3:8" x14ac:dyDescent="0.2">
      <c r="C86" s="351"/>
      <c r="D86" s="50" t="s">
        <v>71</v>
      </c>
      <c r="E86" s="10">
        <v>1</v>
      </c>
      <c r="F86" s="10">
        <v>1</v>
      </c>
      <c r="G86" s="48">
        <f t="shared" si="3"/>
        <v>1</v>
      </c>
      <c r="H86" s="1"/>
    </row>
    <row r="87" spans="3:8" ht="16" thickBot="1" x14ac:dyDescent="0.25">
      <c r="C87" s="351"/>
      <c r="D87" s="50" t="s">
        <v>72</v>
      </c>
      <c r="E87" s="10">
        <v>1</v>
      </c>
      <c r="F87" s="10">
        <v>10</v>
      </c>
      <c r="G87" s="48">
        <f t="shared" si="3"/>
        <v>10</v>
      </c>
      <c r="H87" s="1"/>
    </row>
    <row r="88" spans="3:8" ht="16" thickBot="1" x14ac:dyDescent="0.25">
      <c r="C88" s="352"/>
      <c r="D88" s="35"/>
      <c r="E88" s="36"/>
      <c r="F88" s="36"/>
      <c r="G88" s="37">
        <f>SUM(G73:G87)</f>
        <v>1031.8</v>
      </c>
      <c r="H88" s="1"/>
    </row>
    <row r="89" spans="3:8" x14ac:dyDescent="0.2">
      <c r="E89" s="1"/>
      <c r="F89" s="1"/>
      <c r="G89" s="2"/>
      <c r="H89" s="1"/>
    </row>
    <row r="90" spans="3:8" ht="16" thickBot="1" x14ac:dyDescent="0.25">
      <c r="E90" s="3" t="s">
        <v>4</v>
      </c>
      <c r="F90" s="1"/>
      <c r="G90" s="4" t="s">
        <v>5</v>
      </c>
      <c r="H90" s="1"/>
    </row>
    <row r="91" spans="3:8" ht="15" customHeight="1" x14ac:dyDescent="0.2">
      <c r="C91" s="350" t="s">
        <v>73</v>
      </c>
      <c r="D91" s="52" t="s">
        <v>74</v>
      </c>
      <c r="E91" s="6"/>
      <c r="F91" s="6"/>
      <c r="G91" s="53">
        <v>15</v>
      </c>
      <c r="H91" s="1"/>
    </row>
    <row r="92" spans="3:8" x14ac:dyDescent="0.2">
      <c r="C92" s="351"/>
      <c r="D92" s="18" t="s">
        <v>75</v>
      </c>
      <c r="E92" s="10"/>
      <c r="F92" s="10"/>
      <c r="G92" s="54">
        <v>10</v>
      </c>
      <c r="H92" s="1"/>
    </row>
    <row r="93" spans="3:8" x14ac:dyDescent="0.2">
      <c r="C93" s="351"/>
      <c r="D93" s="18" t="s">
        <v>76</v>
      </c>
      <c r="E93" s="10"/>
      <c r="F93" s="10"/>
      <c r="G93" s="54">
        <v>5</v>
      </c>
      <c r="H93" s="1"/>
    </row>
    <row r="94" spans="3:8" x14ac:dyDescent="0.2">
      <c r="C94" s="351"/>
      <c r="D94" s="50" t="s">
        <v>77</v>
      </c>
      <c r="E94" s="10">
        <v>1</v>
      </c>
      <c r="F94" s="10">
        <v>200</v>
      </c>
      <c r="G94" s="55">
        <f t="shared" ref="G94" si="4">F94*E94</f>
        <v>200</v>
      </c>
      <c r="H94" s="1"/>
    </row>
    <row r="95" spans="3:8" x14ac:dyDescent="0.2">
      <c r="C95" s="351"/>
      <c r="D95" s="18" t="s">
        <v>78</v>
      </c>
      <c r="E95" s="10"/>
      <c r="F95" s="10"/>
      <c r="G95" s="54">
        <v>30</v>
      </c>
      <c r="H95" s="1"/>
    </row>
    <row r="96" spans="3:8" x14ac:dyDescent="0.2">
      <c r="C96" s="351"/>
      <c r="D96" s="18" t="s">
        <v>79</v>
      </c>
      <c r="E96" s="10"/>
      <c r="F96" s="10"/>
      <c r="G96" s="56">
        <v>180</v>
      </c>
      <c r="H96" s="1"/>
    </row>
    <row r="97" spans="3:9" x14ac:dyDescent="0.2">
      <c r="C97" s="351"/>
      <c r="D97" s="18"/>
      <c r="E97" s="10"/>
      <c r="F97" s="10"/>
      <c r="G97" s="56">
        <v>0</v>
      </c>
      <c r="H97" s="1"/>
    </row>
    <row r="98" spans="3:9" x14ac:dyDescent="0.2">
      <c r="C98" s="351"/>
      <c r="D98" s="18"/>
      <c r="E98" s="10"/>
      <c r="F98" s="10"/>
      <c r="G98" s="28"/>
      <c r="H98" s="1"/>
    </row>
    <row r="99" spans="3:9" ht="16" thickBot="1" x14ac:dyDescent="0.25">
      <c r="C99" s="351"/>
      <c r="D99" s="18" t="s">
        <v>80</v>
      </c>
      <c r="E99" s="10"/>
      <c r="F99" s="10"/>
      <c r="G99" s="57">
        <v>15</v>
      </c>
      <c r="H99" s="1"/>
    </row>
    <row r="100" spans="3:9" ht="16" thickBot="1" x14ac:dyDescent="0.25">
      <c r="C100" s="352"/>
      <c r="D100" s="35"/>
      <c r="E100" s="36"/>
      <c r="F100" s="36"/>
      <c r="G100" s="37">
        <f>SUM(G91:G99)</f>
        <v>455</v>
      </c>
      <c r="H100" s="1"/>
    </row>
    <row r="101" spans="3:9" x14ac:dyDescent="0.2">
      <c r="E101" s="1"/>
      <c r="F101" s="1"/>
      <c r="G101" s="2"/>
      <c r="H101" s="1"/>
    </row>
    <row r="102" spans="3:9" x14ac:dyDescent="0.2">
      <c r="E102" s="1"/>
      <c r="F102" s="1"/>
      <c r="G102" s="2"/>
      <c r="H102" s="1"/>
    </row>
    <row r="103" spans="3:9" ht="16" thickBot="1" x14ac:dyDescent="0.25">
      <c r="E103" s="3" t="s">
        <v>4</v>
      </c>
      <c r="F103" s="1"/>
      <c r="G103" s="4" t="s">
        <v>5</v>
      </c>
      <c r="H103" s="1"/>
    </row>
    <row r="104" spans="3:9" ht="15" customHeight="1" x14ac:dyDescent="0.2">
      <c r="C104" s="350" t="s">
        <v>81</v>
      </c>
      <c r="D104" s="58" t="s">
        <v>82</v>
      </c>
      <c r="E104" s="6">
        <v>1</v>
      </c>
      <c r="F104" s="6">
        <v>150</v>
      </c>
      <c r="G104" s="59">
        <f t="shared" ref="G104:G109" si="5">E104*F104</f>
        <v>150</v>
      </c>
      <c r="H104" s="51"/>
      <c r="I104" t="s">
        <v>83</v>
      </c>
    </row>
    <row r="105" spans="3:9" x14ac:dyDescent="0.2">
      <c r="C105" s="351"/>
      <c r="D105" s="60" t="s">
        <v>84</v>
      </c>
      <c r="E105" s="10">
        <v>6</v>
      </c>
      <c r="F105" s="10">
        <v>10</v>
      </c>
      <c r="G105" s="61">
        <f t="shared" si="5"/>
        <v>60</v>
      </c>
      <c r="H105" s="1"/>
    </row>
    <row r="106" spans="3:9" x14ac:dyDescent="0.2">
      <c r="C106" s="351"/>
      <c r="D106" s="13" t="s">
        <v>85</v>
      </c>
      <c r="E106" s="10">
        <v>0</v>
      </c>
      <c r="F106" s="10">
        <v>15</v>
      </c>
      <c r="G106" s="56">
        <f t="shared" si="5"/>
        <v>0</v>
      </c>
      <c r="H106" s="1"/>
    </row>
    <row r="107" spans="3:9" x14ac:dyDescent="0.2">
      <c r="C107" s="351"/>
      <c r="D107" s="13" t="s">
        <v>86</v>
      </c>
      <c r="E107" s="10">
        <v>0</v>
      </c>
      <c r="F107" s="10">
        <v>15</v>
      </c>
      <c r="G107" s="56">
        <f t="shared" si="5"/>
        <v>0</v>
      </c>
      <c r="H107" s="1"/>
    </row>
    <row r="108" spans="3:9" x14ac:dyDescent="0.2">
      <c r="C108" s="351"/>
      <c r="D108" s="13" t="s">
        <v>87</v>
      </c>
      <c r="E108" s="10">
        <v>1</v>
      </c>
      <c r="F108" s="10">
        <v>20</v>
      </c>
      <c r="G108" s="62">
        <f t="shared" si="5"/>
        <v>20</v>
      </c>
      <c r="H108" s="1"/>
    </row>
    <row r="109" spans="3:9" ht="16" thickBot="1" x14ac:dyDescent="0.25">
      <c r="C109" s="351"/>
      <c r="D109" s="16" t="s">
        <v>88</v>
      </c>
      <c r="E109" s="10">
        <v>0</v>
      </c>
      <c r="F109" s="10">
        <v>50</v>
      </c>
      <c r="G109" s="61">
        <f t="shared" si="5"/>
        <v>0</v>
      </c>
      <c r="H109" s="1"/>
    </row>
    <row r="110" spans="3:9" ht="16" thickBot="1" x14ac:dyDescent="0.25">
      <c r="C110" s="352"/>
      <c r="D110" s="35"/>
      <c r="E110" s="36"/>
      <c r="F110" s="36"/>
      <c r="G110" s="37">
        <f>SUM(G104:G109)</f>
        <v>230</v>
      </c>
      <c r="H110" s="1"/>
    </row>
    <row r="111" spans="3:9" x14ac:dyDescent="0.2">
      <c r="E111" s="1"/>
      <c r="F111" s="1"/>
      <c r="G111" s="2"/>
      <c r="H111" s="1"/>
    </row>
    <row r="112" spans="3:9" x14ac:dyDescent="0.2">
      <c r="E112" s="1"/>
      <c r="F112" s="1"/>
      <c r="G112" s="2"/>
      <c r="H112" s="1"/>
    </row>
    <row r="113" spans="4:8" x14ac:dyDescent="0.2">
      <c r="E113" s="1"/>
      <c r="F113" s="1"/>
      <c r="G113" s="2"/>
      <c r="H113" s="1"/>
    </row>
    <row r="114" spans="4:8" x14ac:dyDescent="0.2">
      <c r="E114" s="1"/>
      <c r="F114" s="1"/>
      <c r="G114" s="2"/>
      <c r="H114" s="1"/>
    </row>
    <row r="115" spans="4:8" x14ac:dyDescent="0.2">
      <c r="E115" s="1"/>
      <c r="F115" s="1"/>
      <c r="G115" s="2"/>
      <c r="H115" s="1"/>
    </row>
    <row r="116" spans="4:8" ht="16" thickBot="1" x14ac:dyDescent="0.25">
      <c r="E116" s="1"/>
      <c r="F116" s="1"/>
      <c r="G116" s="2"/>
      <c r="H116" s="1"/>
    </row>
    <row r="117" spans="4:8" ht="16" thickBot="1" x14ac:dyDescent="0.25">
      <c r="D117" s="5" t="s">
        <v>89</v>
      </c>
      <c r="E117" s="1"/>
      <c r="F117" s="1"/>
      <c r="G117" s="37">
        <f>G110+G100+G88+G68+G48+G35</f>
        <v>9860.68</v>
      </c>
      <c r="H117" s="1"/>
    </row>
    <row r="118" spans="4:8" ht="16" thickBot="1" x14ac:dyDescent="0.25">
      <c r="D118" t="s">
        <v>90</v>
      </c>
      <c r="E118" s="1"/>
      <c r="F118" s="1"/>
      <c r="G118" s="2">
        <v>1000</v>
      </c>
      <c r="H118" s="1"/>
    </row>
    <row r="119" spans="4:8" ht="16" thickBot="1" x14ac:dyDescent="0.25">
      <c r="D119" s="5" t="s">
        <v>91</v>
      </c>
      <c r="E119" s="1"/>
      <c r="F119" s="1"/>
      <c r="G119" s="37">
        <f>2100+200</f>
        <v>2300</v>
      </c>
      <c r="H119" s="1"/>
    </row>
    <row r="120" spans="4:8" ht="16" thickBot="1" x14ac:dyDescent="0.25">
      <c r="D120" t="s">
        <v>92</v>
      </c>
      <c r="E120" s="1"/>
      <c r="F120" s="1"/>
      <c r="G120" s="2">
        <v>250</v>
      </c>
      <c r="H120" s="1"/>
    </row>
    <row r="121" spans="4:8" ht="16" thickBot="1" x14ac:dyDescent="0.25">
      <c r="D121" s="5" t="s">
        <v>93</v>
      </c>
      <c r="E121" s="1"/>
      <c r="F121" s="1"/>
      <c r="G121" s="37">
        <f>0.1*(G117+G119+G118+G120)</f>
        <v>1341.0680000000002</v>
      </c>
      <c r="H121" s="1"/>
    </row>
    <row r="122" spans="4:8" ht="16" thickBot="1" x14ac:dyDescent="0.25">
      <c r="E122" s="1"/>
      <c r="F122" s="1"/>
      <c r="G122" s="2"/>
      <c r="H122" s="1"/>
    </row>
    <row r="123" spans="4:8" ht="16" thickBot="1" x14ac:dyDescent="0.25">
      <c r="D123" s="5" t="s">
        <v>94</v>
      </c>
      <c r="E123" s="1"/>
      <c r="F123" s="1"/>
      <c r="G123" s="37">
        <f>G117+G119+G121+G120+G118</f>
        <v>14751.748</v>
      </c>
      <c r="H123" s="1"/>
    </row>
    <row r="124" spans="4:8" x14ac:dyDescent="0.2">
      <c r="E124" s="1"/>
      <c r="F124" s="1"/>
      <c r="G124" s="2"/>
      <c r="H124" s="1"/>
    </row>
    <row r="125" spans="4:8" ht="16" thickBot="1" x14ac:dyDescent="0.25">
      <c r="E125" s="1"/>
      <c r="F125" s="1"/>
      <c r="G125" s="2"/>
      <c r="H125" s="1"/>
    </row>
    <row r="126" spans="4:8" ht="16" thickBot="1" x14ac:dyDescent="0.25">
      <c r="D126" s="5" t="s">
        <v>95</v>
      </c>
      <c r="E126" s="37">
        <f>G117</f>
        <v>9860.68</v>
      </c>
      <c r="F126" s="1"/>
      <c r="G126" s="2"/>
      <c r="H126" s="1"/>
    </row>
    <row r="127" spans="4:8" ht="16" thickBot="1" x14ac:dyDescent="0.25">
      <c r="D127" s="5" t="s">
        <v>96</v>
      </c>
      <c r="E127" s="37">
        <v>1000</v>
      </c>
      <c r="F127" s="1"/>
      <c r="G127" s="2"/>
      <c r="H127" s="1"/>
    </row>
    <row r="128" spans="4:8" ht="16" thickBot="1" x14ac:dyDescent="0.25">
      <c r="D128" s="5" t="s">
        <v>97</v>
      </c>
      <c r="E128" s="37">
        <f>G119</f>
        <v>2300</v>
      </c>
      <c r="F128" s="63">
        <f>E128/G123</f>
        <v>0.15591372629196215</v>
      </c>
      <c r="G128" s="2"/>
      <c r="H128" s="1"/>
    </row>
    <row r="129" spans="4:8" ht="16" thickBot="1" x14ac:dyDescent="0.25">
      <c r="D129" s="5" t="s">
        <v>98</v>
      </c>
      <c r="E129" s="37">
        <v>250</v>
      </c>
      <c r="F129" s="63"/>
      <c r="G129" s="2"/>
      <c r="H129" s="1"/>
    </row>
    <row r="130" spans="4:8" ht="16" thickBot="1" x14ac:dyDescent="0.25">
      <c r="D130" s="5" t="s">
        <v>99</v>
      </c>
      <c r="E130" s="37">
        <f>G121</f>
        <v>1341.0680000000002</v>
      </c>
      <c r="F130" s="1"/>
      <c r="G130" s="2"/>
      <c r="H130" s="1"/>
    </row>
    <row r="131" spans="4:8" x14ac:dyDescent="0.2">
      <c r="E131" s="1"/>
      <c r="F131" s="1"/>
      <c r="G131" s="2"/>
      <c r="H131" s="1"/>
    </row>
    <row r="132" spans="4:8" x14ac:dyDescent="0.2">
      <c r="E132" s="64">
        <f>SUM(E126:E130)</f>
        <v>14751.748</v>
      </c>
      <c r="F132" s="1"/>
      <c r="G132" s="2"/>
      <c r="H132" s="1"/>
    </row>
    <row r="133" spans="4:8" x14ac:dyDescent="0.2">
      <c r="E133" s="1"/>
      <c r="F133" s="1"/>
      <c r="G133" s="2"/>
      <c r="H133" s="1"/>
    </row>
    <row r="134" spans="4:8" x14ac:dyDescent="0.2">
      <c r="E134" s="1"/>
      <c r="F134" s="1"/>
      <c r="G134" s="2"/>
      <c r="H134" s="1"/>
    </row>
    <row r="135" spans="4:8" x14ac:dyDescent="0.2">
      <c r="E135" s="1"/>
      <c r="F135" s="1"/>
      <c r="G135" s="2"/>
      <c r="H135" s="1"/>
    </row>
    <row r="136" spans="4:8" x14ac:dyDescent="0.2">
      <c r="E136" s="1"/>
      <c r="F136" s="1"/>
      <c r="G136" s="2"/>
      <c r="H136" s="1"/>
    </row>
    <row r="137" spans="4:8" x14ac:dyDescent="0.2">
      <c r="E137" s="1"/>
      <c r="F137" s="1"/>
      <c r="G137" s="2"/>
      <c r="H137" s="1"/>
    </row>
    <row r="138" spans="4:8" ht="16" thickBot="1" x14ac:dyDescent="0.25">
      <c r="E138" s="1"/>
      <c r="F138" s="1"/>
      <c r="G138" s="2"/>
      <c r="H138" s="1"/>
    </row>
    <row r="139" spans="4:8" ht="16" thickBot="1" x14ac:dyDescent="0.25">
      <c r="D139" s="65" t="s">
        <v>100</v>
      </c>
      <c r="E139" s="37">
        <f>G35</f>
        <v>5716.84</v>
      </c>
      <c r="F139" s="1"/>
      <c r="G139" s="2"/>
      <c r="H139" s="1"/>
    </row>
    <row r="140" spans="4:8" ht="16" thickBot="1" x14ac:dyDescent="0.25">
      <c r="D140" s="66" t="s">
        <v>101</v>
      </c>
      <c r="E140" s="37">
        <f>G48</f>
        <v>425</v>
      </c>
      <c r="F140" s="1"/>
      <c r="G140" s="2"/>
      <c r="H140" s="1"/>
    </row>
    <row r="141" spans="4:8" ht="16" thickBot="1" x14ac:dyDescent="0.25">
      <c r="D141" s="67" t="s">
        <v>102</v>
      </c>
      <c r="E141" s="37">
        <f>G68</f>
        <v>2002.0399999999997</v>
      </c>
      <c r="F141" s="1"/>
      <c r="G141" s="2"/>
      <c r="H141" s="1"/>
    </row>
    <row r="142" spans="4:8" ht="16" thickBot="1" x14ac:dyDescent="0.25">
      <c r="D142" s="68" t="s">
        <v>103</v>
      </c>
      <c r="E142" s="37">
        <f>G88</f>
        <v>1031.8</v>
      </c>
      <c r="F142" s="1"/>
      <c r="G142" s="2"/>
      <c r="H142" s="1"/>
    </row>
    <row r="143" spans="4:8" ht="16" thickBot="1" x14ac:dyDescent="0.25">
      <c r="D143" s="69" t="s">
        <v>104</v>
      </c>
      <c r="E143" s="37">
        <f>G100</f>
        <v>455</v>
      </c>
      <c r="F143" s="1"/>
      <c r="G143" s="2"/>
      <c r="H143" s="1"/>
    </row>
    <row r="144" spans="4:8" ht="16" thickBot="1" x14ac:dyDescent="0.25">
      <c r="D144" s="5" t="s">
        <v>105</v>
      </c>
      <c r="E144" s="37">
        <f>G110</f>
        <v>230</v>
      </c>
      <c r="F144" s="1"/>
      <c r="G144" s="2"/>
      <c r="H144" s="1"/>
    </row>
    <row r="145" spans="5:8" x14ac:dyDescent="0.2">
      <c r="E145" s="1"/>
      <c r="F145" s="1"/>
      <c r="G145" s="2"/>
      <c r="H145" s="1"/>
    </row>
    <row r="146" spans="5:8" x14ac:dyDescent="0.2">
      <c r="E146" s="64">
        <f>SUM(E139:E145)</f>
        <v>9860.68</v>
      </c>
      <c r="F146" s="1"/>
      <c r="G146" s="2"/>
      <c r="H146" s="1"/>
    </row>
  </sheetData>
  <mergeCells count="7">
    <mergeCell ref="C104:C110"/>
    <mergeCell ref="C5:C35"/>
    <mergeCell ref="H27:I31"/>
    <mergeCell ref="C38:C48"/>
    <mergeCell ref="C51:C68"/>
    <mergeCell ref="C72:C88"/>
    <mergeCell ref="C91:C100"/>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41"/>
  <sheetViews>
    <sheetView topLeftCell="B1" workbookViewId="0">
      <selection activeCell="I12" sqref="I12"/>
    </sheetView>
  </sheetViews>
  <sheetFormatPr baseColWidth="10" defaultColWidth="8.83203125" defaultRowHeight="15" x14ac:dyDescent="0.2"/>
  <cols>
    <col min="3" max="3" width="13.1640625" style="116" customWidth="1"/>
    <col min="4" max="4" width="20.33203125" style="1" bestFit="1" customWidth="1"/>
    <col min="5" max="5" width="13.83203125" bestFit="1" customWidth="1"/>
    <col min="6" max="6" width="16.83203125" bestFit="1" customWidth="1"/>
    <col min="7" max="7" width="19" bestFit="1" customWidth="1"/>
    <col min="8" max="8" width="14.6640625" bestFit="1" customWidth="1"/>
    <col min="9" max="9" width="18.83203125" bestFit="1" customWidth="1"/>
    <col min="10" max="10" width="24.83203125" bestFit="1" customWidth="1"/>
    <col min="11" max="11" width="8.83203125" style="1"/>
    <col min="15" max="15" width="17" bestFit="1" customWidth="1"/>
    <col min="18" max="18" width="18.33203125" bestFit="1" customWidth="1"/>
    <col min="19" max="19" width="10.33203125" bestFit="1" customWidth="1"/>
    <col min="20" max="20" width="16.6640625" bestFit="1" customWidth="1"/>
    <col min="21" max="21" width="15.1640625" bestFit="1" customWidth="1"/>
  </cols>
  <sheetData>
    <row r="1" spans="3:21" ht="16" thickBot="1" x14ac:dyDescent="0.25"/>
    <row r="2" spans="3:21" ht="15" customHeight="1" x14ac:dyDescent="0.2">
      <c r="C2" s="368" t="s">
        <v>109</v>
      </c>
      <c r="D2" s="87" t="s">
        <v>110</v>
      </c>
      <c r="E2" s="88" t="s">
        <v>111</v>
      </c>
      <c r="F2" s="58"/>
      <c r="G2" s="58"/>
      <c r="H2" s="58"/>
      <c r="I2" s="58"/>
      <c r="J2" s="79"/>
      <c r="Q2" s="368" t="s">
        <v>169</v>
      </c>
      <c r="R2" s="101" t="s">
        <v>170</v>
      </c>
      <c r="S2" s="88" t="s">
        <v>171</v>
      </c>
    </row>
    <row r="3" spans="3:21" ht="16" thickBot="1" x14ac:dyDescent="0.25">
      <c r="C3" s="369"/>
      <c r="D3" s="89"/>
      <c r="E3" s="90"/>
      <c r="F3" s="13"/>
      <c r="G3" s="49" t="s">
        <v>328</v>
      </c>
      <c r="H3" s="13"/>
      <c r="I3" s="13"/>
      <c r="J3" s="82"/>
      <c r="Q3" s="369"/>
      <c r="R3" s="102"/>
      <c r="S3" s="90"/>
    </row>
    <row r="4" spans="3:21" ht="16" thickBot="1" x14ac:dyDescent="0.25">
      <c r="C4" s="369"/>
      <c r="D4" s="10"/>
      <c r="E4" s="13"/>
      <c r="F4" s="13"/>
      <c r="G4" s="13"/>
      <c r="H4" s="13"/>
      <c r="I4" s="13"/>
      <c r="J4" s="82"/>
      <c r="Q4" s="369"/>
      <c r="R4" s="1"/>
    </row>
    <row r="5" spans="3:21" x14ac:dyDescent="0.2">
      <c r="C5" s="369"/>
      <c r="D5" s="87" t="s">
        <v>112</v>
      </c>
      <c r="E5" s="88" t="s">
        <v>113</v>
      </c>
      <c r="F5" s="13"/>
      <c r="G5" s="49" t="s">
        <v>329</v>
      </c>
      <c r="H5" s="13"/>
      <c r="I5" s="13"/>
      <c r="J5" s="82"/>
      <c r="Q5" s="369"/>
      <c r="R5" s="101" t="s">
        <v>172</v>
      </c>
      <c r="S5" s="88" t="s">
        <v>173</v>
      </c>
    </row>
    <row r="6" spans="3:21" ht="16" thickBot="1" x14ac:dyDescent="0.25">
      <c r="C6" s="369"/>
      <c r="D6" s="89"/>
      <c r="E6" s="90"/>
      <c r="F6" s="13"/>
      <c r="G6" s="13"/>
      <c r="H6" s="13"/>
      <c r="I6" s="13"/>
      <c r="J6" s="82"/>
      <c r="Q6" s="369"/>
      <c r="R6" s="102" t="s">
        <v>173</v>
      </c>
      <c r="S6" s="90"/>
    </row>
    <row r="7" spans="3:21" ht="16" thickBot="1" x14ac:dyDescent="0.25">
      <c r="C7" s="369"/>
      <c r="D7" s="10"/>
      <c r="E7" s="13"/>
      <c r="F7" s="13"/>
      <c r="G7" s="13"/>
      <c r="H7" s="13"/>
      <c r="I7" s="13"/>
      <c r="J7" s="82"/>
      <c r="Q7" s="369"/>
      <c r="R7" s="1"/>
    </row>
    <row r="8" spans="3:21" x14ac:dyDescent="0.2">
      <c r="C8" s="369"/>
      <c r="D8" s="87" t="s">
        <v>114</v>
      </c>
      <c r="E8" s="88" t="s">
        <v>115</v>
      </c>
      <c r="F8" s="13"/>
      <c r="G8" s="49" t="s">
        <v>330</v>
      </c>
      <c r="H8" s="49" t="s">
        <v>332</v>
      </c>
      <c r="I8" s="13"/>
      <c r="J8" s="82"/>
      <c r="Q8" s="369"/>
      <c r="R8" s="87" t="s">
        <v>174</v>
      </c>
      <c r="S8" s="88" t="s">
        <v>175</v>
      </c>
    </row>
    <row r="9" spans="3:21" ht="16" thickBot="1" x14ac:dyDescent="0.25">
      <c r="C9" s="369"/>
      <c r="D9" s="89"/>
      <c r="E9" s="90"/>
      <c r="F9" s="13"/>
      <c r="G9" s="49" t="s">
        <v>331</v>
      </c>
      <c r="H9" s="49" t="s">
        <v>334</v>
      </c>
      <c r="I9" s="13"/>
      <c r="J9" s="82"/>
      <c r="Q9" s="369"/>
      <c r="R9" s="89"/>
      <c r="S9" s="90"/>
    </row>
    <row r="10" spans="3:21" ht="16" thickBot="1" x14ac:dyDescent="0.25">
      <c r="C10" s="369"/>
      <c r="D10" s="10"/>
      <c r="E10" s="13"/>
      <c r="F10" s="13"/>
      <c r="G10" s="13"/>
      <c r="H10" s="13"/>
      <c r="I10" s="13"/>
      <c r="J10" s="82"/>
      <c r="Q10" s="369"/>
      <c r="R10" s="1"/>
    </row>
    <row r="11" spans="3:21" x14ac:dyDescent="0.2">
      <c r="C11" s="369"/>
      <c r="D11" s="366" t="s">
        <v>385</v>
      </c>
      <c r="E11" s="88" t="s">
        <v>117</v>
      </c>
      <c r="F11" s="112" t="s">
        <v>118</v>
      </c>
      <c r="G11" s="92" t="s">
        <v>119</v>
      </c>
      <c r="H11" s="114" t="s">
        <v>120</v>
      </c>
      <c r="I11" s="92" t="s">
        <v>121</v>
      </c>
      <c r="J11" s="93" t="s">
        <v>122</v>
      </c>
      <c r="Q11" s="369"/>
      <c r="R11" s="87" t="s">
        <v>176</v>
      </c>
      <c r="S11" s="88" t="s">
        <v>177</v>
      </c>
    </row>
    <row r="12" spans="3:21" ht="16" thickBot="1" x14ac:dyDescent="0.25">
      <c r="C12" s="369"/>
      <c r="D12" s="367"/>
      <c r="E12" s="90"/>
      <c r="F12" s="113" t="s">
        <v>123</v>
      </c>
      <c r="G12" s="95" t="s">
        <v>124</v>
      </c>
      <c r="H12" s="95" t="s">
        <v>125</v>
      </c>
      <c r="I12" s="95" t="s">
        <v>126</v>
      </c>
      <c r="J12" s="96" t="s">
        <v>127</v>
      </c>
      <c r="Q12" s="370"/>
      <c r="R12" s="89"/>
      <c r="S12" s="90"/>
    </row>
    <row r="13" spans="3:21" ht="16" thickBot="1" x14ac:dyDescent="0.25">
      <c r="C13" s="369"/>
      <c r="D13" s="10"/>
      <c r="E13" s="13"/>
      <c r="F13" s="13"/>
      <c r="G13" s="13"/>
      <c r="H13" s="13"/>
      <c r="I13" s="13"/>
      <c r="J13" s="82"/>
    </row>
    <row r="14" spans="3:21" ht="16" thickBot="1" x14ac:dyDescent="0.25">
      <c r="C14" s="369"/>
      <c r="D14" s="87" t="s">
        <v>128</v>
      </c>
      <c r="E14" s="88" t="s">
        <v>129</v>
      </c>
      <c r="F14" s="97" t="s">
        <v>130</v>
      </c>
      <c r="G14" s="115" t="s">
        <v>131</v>
      </c>
      <c r="H14" s="13"/>
      <c r="I14" s="13"/>
      <c r="J14" s="82"/>
      <c r="Q14" s="368" t="s">
        <v>178</v>
      </c>
      <c r="R14" s="101" t="s">
        <v>179</v>
      </c>
      <c r="S14" s="88" t="s">
        <v>180</v>
      </c>
      <c r="T14" s="58"/>
      <c r="U14" s="79"/>
    </row>
    <row r="15" spans="3:21" ht="16" thickBot="1" x14ac:dyDescent="0.25">
      <c r="C15" s="369"/>
      <c r="D15" s="89"/>
      <c r="E15" s="90"/>
      <c r="F15" s="99" t="s">
        <v>133</v>
      </c>
      <c r="G15" s="100" t="s">
        <v>134</v>
      </c>
      <c r="H15" s="13"/>
      <c r="I15" s="13"/>
      <c r="J15" s="82"/>
      <c r="Q15" s="369"/>
      <c r="R15" s="102"/>
      <c r="S15" s="90"/>
      <c r="T15" s="13"/>
      <c r="U15" s="82"/>
    </row>
    <row r="16" spans="3:21" ht="16" thickBot="1" x14ac:dyDescent="0.25">
      <c r="C16" s="369"/>
      <c r="D16" s="10"/>
      <c r="E16" s="13"/>
      <c r="F16" s="13"/>
      <c r="G16" s="13"/>
      <c r="H16" s="13"/>
      <c r="I16" s="13"/>
      <c r="J16" s="82"/>
      <c r="Q16" s="369"/>
      <c r="R16" s="10"/>
      <c r="S16" s="13"/>
      <c r="T16" s="13"/>
      <c r="U16" s="82"/>
    </row>
    <row r="17" spans="3:21" x14ac:dyDescent="0.2">
      <c r="C17" s="369"/>
      <c r="D17" s="87" t="s">
        <v>136</v>
      </c>
      <c r="E17" s="88" t="s">
        <v>137</v>
      </c>
      <c r="F17" s="92" t="s">
        <v>138</v>
      </c>
      <c r="G17" s="93" t="s">
        <v>139</v>
      </c>
      <c r="H17" s="13"/>
      <c r="I17" s="13"/>
      <c r="J17" s="82"/>
      <c r="Q17" s="369"/>
      <c r="R17" s="87" t="s">
        <v>181</v>
      </c>
      <c r="S17" s="88" t="s">
        <v>182</v>
      </c>
      <c r="T17" s="92" t="s">
        <v>183</v>
      </c>
      <c r="U17" s="93" t="s">
        <v>184</v>
      </c>
    </row>
    <row r="18" spans="3:21" ht="16" thickBot="1" x14ac:dyDescent="0.25">
      <c r="C18" s="369"/>
      <c r="D18" s="89"/>
      <c r="E18" s="90"/>
      <c r="F18" s="95" t="s">
        <v>140</v>
      </c>
      <c r="G18" s="96" t="s">
        <v>141</v>
      </c>
      <c r="H18" s="13"/>
      <c r="I18" s="13"/>
      <c r="J18" s="82"/>
      <c r="Q18" s="369"/>
      <c r="R18" s="89" t="s">
        <v>173</v>
      </c>
      <c r="S18" s="90"/>
      <c r="T18" s="95" t="s">
        <v>185</v>
      </c>
      <c r="U18" s="96" t="s">
        <v>186</v>
      </c>
    </row>
    <row r="19" spans="3:21" ht="16" thickBot="1" x14ac:dyDescent="0.25">
      <c r="C19" s="369"/>
      <c r="D19" s="10"/>
      <c r="E19" s="13"/>
      <c r="F19" s="13"/>
      <c r="G19" s="13"/>
      <c r="H19" s="13"/>
      <c r="I19" s="13"/>
      <c r="J19" s="82"/>
      <c r="Q19" s="369"/>
      <c r="R19" s="10"/>
      <c r="S19" s="13"/>
      <c r="T19" s="13"/>
      <c r="U19" s="82"/>
    </row>
    <row r="20" spans="3:21" x14ac:dyDescent="0.2">
      <c r="C20" s="369"/>
      <c r="D20" s="87" t="s">
        <v>142</v>
      </c>
      <c r="E20" s="88" t="s">
        <v>143</v>
      </c>
      <c r="F20" s="13"/>
      <c r="G20" s="13"/>
      <c r="H20" s="13"/>
      <c r="I20" s="13"/>
      <c r="J20" s="82"/>
      <c r="Q20" s="369"/>
      <c r="R20" s="87" t="s">
        <v>187</v>
      </c>
      <c r="S20" s="88" t="s">
        <v>188</v>
      </c>
      <c r="T20" s="13"/>
      <c r="U20" s="82"/>
    </row>
    <row r="21" spans="3:21" ht="16" thickBot="1" x14ac:dyDescent="0.25">
      <c r="C21" s="369"/>
      <c r="D21" s="89"/>
      <c r="E21" s="90"/>
      <c r="F21" s="13"/>
      <c r="G21" s="13"/>
      <c r="H21" s="13"/>
      <c r="I21" s="13"/>
      <c r="J21" s="82"/>
      <c r="Q21" s="370"/>
      <c r="R21" s="89"/>
      <c r="S21" s="90"/>
      <c r="T21" s="35"/>
      <c r="U21" s="85"/>
    </row>
    <row r="22" spans="3:21" ht="16" thickBot="1" x14ac:dyDescent="0.25">
      <c r="C22" s="369"/>
      <c r="D22" s="10"/>
      <c r="E22" s="13"/>
      <c r="F22" s="13"/>
      <c r="G22" s="13"/>
      <c r="H22" s="13"/>
      <c r="I22" s="13"/>
      <c r="J22" s="82"/>
    </row>
    <row r="23" spans="3:21" ht="16" thickBot="1" x14ac:dyDescent="0.25">
      <c r="C23" s="369"/>
      <c r="D23" s="87" t="s">
        <v>144</v>
      </c>
      <c r="E23" s="88" t="s">
        <v>145</v>
      </c>
      <c r="F23" s="97" t="s">
        <v>3</v>
      </c>
      <c r="G23" s="97" t="s">
        <v>146</v>
      </c>
      <c r="H23" s="98" t="s">
        <v>147</v>
      </c>
      <c r="I23" s="13"/>
      <c r="J23" s="82"/>
    </row>
    <row r="24" spans="3:21" ht="16" thickBot="1" x14ac:dyDescent="0.25">
      <c r="C24" s="369"/>
      <c r="D24" s="89"/>
      <c r="E24" s="90"/>
      <c r="F24" s="99" t="s">
        <v>148</v>
      </c>
      <c r="G24" s="99" t="s">
        <v>149</v>
      </c>
      <c r="H24" s="100" t="s">
        <v>150</v>
      </c>
      <c r="I24" s="13"/>
      <c r="J24" s="82"/>
    </row>
    <row r="25" spans="3:21" ht="16" thickBot="1" x14ac:dyDescent="0.25">
      <c r="C25" s="369"/>
      <c r="D25" s="10"/>
      <c r="E25" s="13"/>
      <c r="F25" s="13"/>
      <c r="G25" s="13"/>
      <c r="H25" s="13"/>
      <c r="I25" s="13"/>
      <c r="J25" s="82"/>
    </row>
    <row r="26" spans="3:21" x14ac:dyDescent="0.2">
      <c r="C26" s="369"/>
      <c r="D26" s="87" t="s">
        <v>151</v>
      </c>
      <c r="E26" s="88" t="s">
        <v>152</v>
      </c>
      <c r="F26" s="92" t="s">
        <v>153</v>
      </c>
      <c r="G26" s="92" t="s">
        <v>154</v>
      </c>
      <c r="H26" s="92" t="s">
        <v>155</v>
      </c>
      <c r="I26" s="93" t="s">
        <v>156</v>
      </c>
      <c r="J26" s="375" t="s">
        <v>397</v>
      </c>
    </row>
    <row r="27" spans="3:21" ht="16" thickBot="1" x14ac:dyDescent="0.25">
      <c r="C27" s="369"/>
      <c r="D27" s="89"/>
      <c r="E27" s="90"/>
      <c r="F27" s="95" t="s">
        <v>157</v>
      </c>
      <c r="G27" s="95" t="s">
        <v>158</v>
      </c>
      <c r="H27" s="95" t="s">
        <v>159</v>
      </c>
      <c r="I27" s="96" t="s">
        <v>160</v>
      </c>
      <c r="J27" s="375"/>
    </row>
    <row r="28" spans="3:21" ht="16" thickBot="1" x14ac:dyDescent="0.25">
      <c r="C28" s="369"/>
      <c r="D28" s="10"/>
      <c r="E28" s="13"/>
      <c r="F28" s="13"/>
      <c r="G28" s="13"/>
      <c r="H28" s="13"/>
      <c r="I28" s="13"/>
      <c r="J28" s="82"/>
    </row>
    <row r="29" spans="3:21" x14ac:dyDescent="0.2">
      <c r="C29" s="369"/>
      <c r="D29" s="87" t="s">
        <v>161</v>
      </c>
      <c r="E29" s="88" t="s">
        <v>162</v>
      </c>
      <c r="F29" s="92" t="s">
        <v>163</v>
      </c>
      <c r="G29" s="92" t="s">
        <v>164</v>
      </c>
      <c r="H29" s="93" t="s">
        <v>165</v>
      </c>
      <c r="I29" s="13"/>
      <c r="J29" s="82"/>
    </row>
    <row r="30" spans="3:21" ht="16" thickBot="1" x14ac:dyDescent="0.25">
      <c r="C30" s="370"/>
      <c r="D30" s="89"/>
      <c r="E30" s="90"/>
      <c r="F30" s="95" t="s">
        <v>166</v>
      </c>
      <c r="G30" s="95" t="s">
        <v>167</v>
      </c>
      <c r="H30" s="96" t="s">
        <v>168</v>
      </c>
      <c r="I30" s="35"/>
      <c r="J30" s="85"/>
    </row>
    <row r="32" spans="3:21" ht="16" x14ac:dyDescent="0.2">
      <c r="E32" s="400" t="s">
        <v>418</v>
      </c>
      <c r="F32" s="400"/>
      <c r="G32" s="400"/>
      <c r="H32" s="400"/>
      <c r="I32" s="400"/>
      <c r="J32" s="400"/>
    </row>
    <row r="33" spans="2:13" ht="16" thickBot="1" x14ac:dyDescent="0.25">
      <c r="K33" s="1" t="s">
        <v>345</v>
      </c>
    </row>
    <row r="34" spans="2:13" x14ac:dyDescent="0.2">
      <c r="B34" s="368" t="s">
        <v>109</v>
      </c>
      <c r="C34" s="372" t="s">
        <v>111</v>
      </c>
      <c r="D34" s="337" t="s">
        <v>335</v>
      </c>
      <c r="E34" s="52" t="s">
        <v>328</v>
      </c>
      <c r="F34" s="106" t="s">
        <v>336</v>
      </c>
      <c r="G34" s="106" t="s">
        <v>338</v>
      </c>
      <c r="H34" s="106" t="s">
        <v>337</v>
      </c>
      <c r="I34" s="106"/>
      <c r="J34" s="106"/>
      <c r="K34" s="107">
        <v>70</v>
      </c>
    </row>
    <row r="35" spans="2:13" ht="16" thickBot="1" x14ac:dyDescent="0.25">
      <c r="B35" s="369"/>
      <c r="C35" s="373"/>
      <c r="D35" s="371"/>
      <c r="E35" s="23"/>
      <c r="F35" s="109"/>
      <c r="G35" s="109"/>
      <c r="H35" s="109"/>
      <c r="I35" s="109"/>
      <c r="J35" s="109"/>
      <c r="K35" s="110"/>
      <c r="L35">
        <f>SUM(K34:K35)</f>
        <v>70</v>
      </c>
    </row>
    <row r="36" spans="2:13" ht="16" thickBot="1" x14ac:dyDescent="0.25">
      <c r="B36" s="369"/>
      <c r="C36" s="119"/>
      <c r="D36" s="10"/>
      <c r="E36" s="13"/>
      <c r="F36" s="13"/>
      <c r="G36" s="13"/>
      <c r="H36" s="13"/>
      <c r="I36" s="13"/>
      <c r="J36" s="13"/>
      <c r="K36" s="135"/>
    </row>
    <row r="37" spans="2:13" x14ac:dyDescent="0.2">
      <c r="B37" s="369"/>
      <c r="C37" s="372" t="s">
        <v>113</v>
      </c>
      <c r="D37" s="337" t="s">
        <v>339</v>
      </c>
      <c r="E37" s="52" t="s">
        <v>340</v>
      </c>
      <c r="F37" s="106" t="s">
        <v>341</v>
      </c>
      <c r="G37" s="106" t="s">
        <v>342</v>
      </c>
      <c r="H37" s="106" t="s">
        <v>346</v>
      </c>
      <c r="I37" s="106" t="s">
        <v>348</v>
      </c>
      <c r="J37" s="106"/>
      <c r="K37" s="107">
        <v>1140</v>
      </c>
    </row>
    <row r="38" spans="2:13" x14ac:dyDescent="0.2">
      <c r="B38" s="369"/>
      <c r="C38" s="374"/>
      <c r="D38" s="331"/>
      <c r="E38" s="18"/>
      <c r="F38" s="49"/>
      <c r="G38" s="49"/>
      <c r="H38" s="49"/>
      <c r="I38" s="49"/>
      <c r="J38" s="49"/>
      <c r="K38" s="108"/>
    </row>
    <row r="39" spans="2:13" x14ac:dyDescent="0.2">
      <c r="B39" s="369"/>
      <c r="C39" s="374"/>
      <c r="D39" s="331"/>
      <c r="E39" s="18" t="s">
        <v>343</v>
      </c>
      <c r="F39" s="49" t="s">
        <v>341</v>
      </c>
      <c r="G39" s="49" t="s">
        <v>344</v>
      </c>
      <c r="H39" s="49" t="s">
        <v>347</v>
      </c>
      <c r="I39" s="49" t="s">
        <v>348</v>
      </c>
      <c r="J39" s="49"/>
      <c r="K39" s="108">
        <v>1406</v>
      </c>
    </row>
    <row r="40" spans="2:13" x14ac:dyDescent="0.2">
      <c r="B40" s="369"/>
      <c r="C40" s="374"/>
      <c r="D40" s="331"/>
      <c r="E40" s="18"/>
      <c r="F40" s="49"/>
      <c r="G40" s="49"/>
      <c r="H40" s="49"/>
      <c r="I40" s="49"/>
      <c r="J40" s="49"/>
      <c r="K40" s="108"/>
    </row>
    <row r="41" spans="2:13" x14ac:dyDescent="0.2">
      <c r="B41" s="369"/>
      <c r="C41" s="374"/>
      <c r="D41" s="331"/>
      <c r="E41" s="18" t="s">
        <v>349</v>
      </c>
      <c r="F41" s="49" t="s">
        <v>350</v>
      </c>
      <c r="G41" s="49"/>
      <c r="H41" s="49"/>
      <c r="I41" s="49"/>
      <c r="J41" s="49"/>
      <c r="K41" s="108" t="s">
        <v>351</v>
      </c>
    </row>
    <row r="42" spans="2:13" x14ac:dyDescent="0.2">
      <c r="B42" s="369"/>
      <c r="C42" s="374"/>
      <c r="D42" s="331"/>
      <c r="E42" s="18"/>
      <c r="F42" s="49"/>
      <c r="G42" s="49"/>
      <c r="H42" s="49"/>
      <c r="I42" s="49"/>
      <c r="J42" s="49"/>
      <c r="K42" s="108"/>
    </row>
    <row r="43" spans="2:13" x14ac:dyDescent="0.2">
      <c r="B43" s="369"/>
      <c r="C43" s="374"/>
      <c r="D43" s="331"/>
      <c r="E43" s="18" t="s">
        <v>352</v>
      </c>
      <c r="F43" s="49" t="s">
        <v>353</v>
      </c>
      <c r="G43" s="49" t="s">
        <v>354</v>
      </c>
      <c r="H43" s="49"/>
      <c r="I43" s="49"/>
      <c r="J43" s="49"/>
      <c r="K43" s="108">
        <f>50*3.7</f>
        <v>185</v>
      </c>
    </row>
    <row r="44" spans="2:13" x14ac:dyDescent="0.2">
      <c r="B44" s="369"/>
      <c r="C44" s="374"/>
      <c r="D44" s="331"/>
      <c r="E44" s="18"/>
      <c r="F44" s="49"/>
      <c r="G44" s="49"/>
      <c r="H44" s="49"/>
      <c r="I44" s="49"/>
      <c r="J44" s="49"/>
      <c r="K44" s="108"/>
      <c r="L44" s="128" t="s">
        <v>401</v>
      </c>
      <c r="M44" s="129" t="s">
        <v>402</v>
      </c>
    </row>
    <row r="45" spans="2:13" ht="16" thickBot="1" x14ac:dyDescent="0.25">
      <c r="B45" s="369"/>
      <c r="C45" s="373"/>
      <c r="D45" s="371"/>
      <c r="E45" s="23" t="s">
        <v>355</v>
      </c>
      <c r="F45" s="109" t="s">
        <v>353</v>
      </c>
      <c r="G45" s="109" t="s">
        <v>356</v>
      </c>
      <c r="H45" s="109"/>
      <c r="I45" s="109"/>
      <c r="J45" s="109"/>
      <c r="K45" s="110">
        <v>10</v>
      </c>
      <c r="L45" s="1">
        <f>K37+47+K43+K45</f>
        <v>1382</v>
      </c>
      <c r="M45" s="1">
        <f>K39+139+K43+K45</f>
        <v>1740</v>
      </c>
    </row>
    <row r="46" spans="2:13" ht="16" thickBot="1" x14ac:dyDescent="0.25">
      <c r="B46" s="369"/>
      <c r="C46" s="119"/>
      <c r="D46" s="10"/>
      <c r="E46" s="13"/>
      <c r="F46" s="13"/>
      <c r="G46" s="13"/>
      <c r="H46" s="13"/>
      <c r="I46" s="13"/>
      <c r="J46" s="13"/>
      <c r="K46" s="135"/>
    </row>
    <row r="47" spans="2:13" x14ac:dyDescent="0.2">
      <c r="B47" s="369"/>
      <c r="C47" s="363" t="s">
        <v>115</v>
      </c>
      <c r="D47" s="337" t="s">
        <v>374</v>
      </c>
      <c r="E47" s="52" t="s">
        <v>364</v>
      </c>
      <c r="F47" s="106" t="s">
        <v>363</v>
      </c>
      <c r="G47" s="106" t="s">
        <v>365</v>
      </c>
      <c r="H47" s="106" t="s">
        <v>368</v>
      </c>
      <c r="I47" s="106" t="s">
        <v>371</v>
      </c>
      <c r="J47" s="106"/>
      <c r="K47" s="107">
        <f>198*3</f>
        <v>594</v>
      </c>
    </row>
    <row r="48" spans="2:13" x14ac:dyDescent="0.2">
      <c r="B48" s="369"/>
      <c r="C48" s="364"/>
      <c r="D48" s="331"/>
      <c r="E48" s="18" t="s">
        <v>366</v>
      </c>
      <c r="F48" s="49" t="s">
        <v>363</v>
      </c>
      <c r="G48" s="49" t="s">
        <v>367</v>
      </c>
      <c r="H48" s="49" t="s">
        <v>369</v>
      </c>
      <c r="I48" s="49" t="s">
        <v>372</v>
      </c>
      <c r="J48" s="49"/>
      <c r="K48" s="108">
        <v>139</v>
      </c>
    </row>
    <row r="49" spans="2:12" x14ac:dyDescent="0.2">
      <c r="B49" s="369"/>
      <c r="C49" s="364"/>
      <c r="D49" s="331"/>
      <c r="E49" s="18" t="s">
        <v>370</v>
      </c>
      <c r="F49" s="49"/>
      <c r="G49" s="49" t="s">
        <v>365</v>
      </c>
      <c r="H49" s="49" t="s">
        <v>369</v>
      </c>
      <c r="I49" s="49" t="s">
        <v>373</v>
      </c>
      <c r="J49" s="49"/>
      <c r="K49" s="108">
        <v>132</v>
      </c>
    </row>
    <row r="50" spans="2:12" x14ac:dyDescent="0.2">
      <c r="B50" s="369"/>
      <c r="C50" s="364"/>
      <c r="D50" s="331" t="s">
        <v>333</v>
      </c>
      <c r="E50" s="18" t="s">
        <v>359</v>
      </c>
      <c r="F50" s="49" t="s">
        <v>360</v>
      </c>
      <c r="G50" s="49" t="s">
        <v>361</v>
      </c>
      <c r="H50" s="49" t="s">
        <v>362</v>
      </c>
      <c r="I50" s="49"/>
      <c r="J50" s="49"/>
      <c r="K50" s="111">
        <v>140</v>
      </c>
    </row>
    <row r="51" spans="2:12" x14ac:dyDescent="0.2">
      <c r="B51" s="369"/>
      <c r="C51" s="364"/>
      <c r="D51" s="331"/>
      <c r="E51" s="18" t="s">
        <v>358</v>
      </c>
      <c r="F51" s="49"/>
      <c r="G51" s="49"/>
      <c r="H51" s="49"/>
      <c r="I51" s="49"/>
      <c r="J51" s="49"/>
      <c r="K51" s="108">
        <v>38.5</v>
      </c>
    </row>
    <row r="52" spans="2:12" x14ac:dyDescent="0.2">
      <c r="B52" s="369"/>
      <c r="C52" s="364"/>
      <c r="D52" s="331"/>
      <c r="E52" s="18" t="s">
        <v>357</v>
      </c>
      <c r="F52" s="49"/>
      <c r="G52" s="49"/>
      <c r="H52" s="49"/>
      <c r="I52" s="49"/>
      <c r="J52" s="49"/>
      <c r="K52" s="108">
        <v>50</v>
      </c>
    </row>
    <row r="53" spans="2:12" x14ac:dyDescent="0.2">
      <c r="B53" s="369"/>
      <c r="C53" s="364"/>
      <c r="D53" s="331" t="s">
        <v>375</v>
      </c>
      <c r="E53" s="18" t="s">
        <v>376</v>
      </c>
      <c r="F53" s="49" t="s">
        <v>379</v>
      </c>
      <c r="G53" s="49"/>
      <c r="H53" s="49"/>
      <c r="I53" s="49"/>
      <c r="J53" s="49"/>
      <c r="K53" s="108">
        <v>30.6</v>
      </c>
    </row>
    <row r="54" spans="2:12" x14ac:dyDescent="0.2">
      <c r="B54" s="369"/>
      <c r="C54" s="364"/>
      <c r="D54" s="331"/>
      <c r="E54" s="18" t="s">
        <v>377</v>
      </c>
      <c r="F54" s="49" t="s">
        <v>378</v>
      </c>
      <c r="G54" s="49"/>
      <c r="H54" s="49"/>
      <c r="I54" s="49"/>
      <c r="J54" s="49"/>
      <c r="K54" s="108">
        <v>11.8</v>
      </c>
    </row>
    <row r="55" spans="2:12" x14ac:dyDescent="0.2">
      <c r="B55" s="369"/>
      <c r="C55" s="364"/>
      <c r="D55" s="331"/>
      <c r="E55" s="18" t="s">
        <v>380</v>
      </c>
      <c r="F55" s="49" t="s">
        <v>381</v>
      </c>
      <c r="G55" s="49"/>
      <c r="H55" s="49"/>
      <c r="I55" s="49"/>
      <c r="J55" s="49"/>
      <c r="K55" s="108">
        <f>18*0.9*9</f>
        <v>145.79999999999998</v>
      </c>
    </row>
    <row r="56" spans="2:12" x14ac:dyDescent="0.2">
      <c r="B56" s="369"/>
      <c r="C56" s="364"/>
      <c r="D56" s="331"/>
      <c r="E56" s="18" t="s">
        <v>203</v>
      </c>
      <c r="F56" s="49" t="s">
        <v>382</v>
      </c>
      <c r="G56" s="49"/>
      <c r="H56" s="49"/>
      <c r="I56" s="49"/>
      <c r="J56" s="49"/>
      <c r="K56" s="108">
        <f>6.5*(1+0.2*8)</f>
        <v>16.900000000000002</v>
      </c>
    </row>
    <row r="57" spans="2:12" ht="16" thickBot="1" x14ac:dyDescent="0.25">
      <c r="B57" s="369"/>
      <c r="C57" s="365"/>
      <c r="D57" s="110" t="s">
        <v>383</v>
      </c>
      <c r="E57" s="23" t="s">
        <v>2</v>
      </c>
      <c r="F57" s="109" t="s">
        <v>384</v>
      </c>
      <c r="G57" s="109"/>
      <c r="H57" s="109"/>
      <c r="I57" s="109"/>
      <c r="J57" s="109"/>
      <c r="K57" s="110">
        <f>5*(1+0.15*2)</f>
        <v>6.5</v>
      </c>
      <c r="L57" s="1">
        <f>SUM(K47:K57)</f>
        <v>1305.0999999999999</v>
      </c>
    </row>
    <row r="58" spans="2:12" ht="16" thickBot="1" x14ac:dyDescent="0.25">
      <c r="B58" s="369"/>
      <c r="C58" s="119"/>
      <c r="D58" s="10"/>
      <c r="E58" s="13"/>
      <c r="F58" s="13"/>
      <c r="G58" s="13"/>
      <c r="H58" s="13"/>
      <c r="I58" s="13"/>
      <c r="J58" s="13"/>
      <c r="K58" s="135"/>
    </row>
    <row r="59" spans="2:12" ht="15" customHeight="1" x14ac:dyDescent="0.2">
      <c r="B59" s="369"/>
      <c r="C59" s="363" t="s">
        <v>388</v>
      </c>
      <c r="D59" s="381" t="s">
        <v>385</v>
      </c>
      <c r="E59" s="58" t="s">
        <v>386</v>
      </c>
      <c r="F59" s="118" t="s">
        <v>126</v>
      </c>
      <c r="G59" s="106"/>
      <c r="H59" s="106"/>
      <c r="I59" s="106"/>
      <c r="J59" s="106"/>
      <c r="K59" s="337">
        <v>30</v>
      </c>
    </row>
    <row r="60" spans="2:12" x14ac:dyDescent="0.2">
      <c r="B60" s="369"/>
      <c r="C60" s="364"/>
      <c r="D60" s="382"/>
      <c r="E60" s="374" t="s">
        <v>387</v>
      </c>
      <c r="F60" s="9" t="s">
        <v>127</v>
      </c>
      <c r="G60" s="49"/>
      <c r="H60" s="49"/>
      <c r="I60" s="49"/>
      <c r="J60" s="49"/>
      <c r="K60" s="331"/>
    </row>
    <row r="61" spans="2:12" ht="16" thickBot="1" x14ac:dyDescent="0.25">
      <c r="B61" s="369"/>
      <c r="C61" s="365"/>
      <c r="D61" s="383"/>
      <c r="E61" s="373"/>
      <c r="F61" s="35"/>
      <c r="G61" s="35"/>
      <c r="H61" s="35"/>
      <c r="I61" s="35"/>
      <c r="J61" s="35"/>
      <c r="K61" s="117"/>
      <c r="L61">
        <f>K59</f>
        <v>30</v>
      </c>
    </row>
    <row r="62" spans="2:12" ht="16" thickBot="1" x14ac:dyDescent="0.25">
      <c r="B62" s="369"/>
      <c r="C62" s="119"/>
      <c r="D62" s="119"/>
      <c r="E62" s="13"/>
      <c r="F62" s="13"/>
      <c r="G62" s="13"/>
      <c r="H62" s="13"/>
      <c r="I62" s="13"/>
      <c r="J62" s="13"/>
      <c r="K62" s="135"/>
    </row>
    <row r="63" spans="2:12" ht="16" thickBot="1" x14ac:dyDescent="0.25">
      <c r="B63" s="369"/>
      <c r="C63" s="133" t="s">
        <v>129</v>
      </c>
      <c r="D63" s="120" t="s">
        <v>128</v>
      </c>
      <c r="E63" s="120" t="s">
        <v>130</v>
      </c>
      <c r="F63" s="120" t="s">
        <v>133</v>
      </c>
      <c r="G63" s="120"/>
      <c r="H63" s="120"/>
      <c r="I63" s="121"/>
      <c r="J63" s="121"/>
      <c r="K63" s="122"/>
    </row>
    <row r="64" spans="2:12" ht="16" thickBot="1" x14ac:dyDescent="0.25">
      <c r="B64" s="369"/>
      <c r="C64" s="119"/>
      <c r="D64" s="10"/>
      <c r="E64" s="10"/>
      <c r="F64" s="10"/>
      <c r="G64" s="10"/>
      <c r="H64" s="10"/>
      <c r="I64" s="13"/>
      <c r="J64" s="13"/>
      <c r="K64" s="135"/>
    </row>
    <row r="65" spans="2:13" x14ac:dyDescent="0.2">
      <c r="B65" s="369"/>
      <c r="C65" s="372" t="s">
        <v>137</v>
      </c>
      <c r="D65" s="377" t="s">
        <v>389</v>
      </c>
      <c r="E65" s="118" t="s">
        <v>138</v>
      </c>
      <c r="F65" s="118" t="s">
        <v>140</v>
      </c>
      <c r="G65" s="118" t="s">
        <v>392</v>
      </c>
      <c r="H65" s="118" t="s">
        <v>395</v>
      </c>
      <c r="I65" s="106" t="s">
        <v>396</v>
      </c>
      <c r="J65" s="106"/>
      <c r="K65" s="107">
        <f>1*20+3*10</f>
        <v>50</v>
      </c>
    </row>
    <row r="66" spans="2:13" ht="16" thickBot="1" x14ac:dyDescent="0.25">
      <c r="B66" s="369"/>
      <c r="C66" s="373"/>
      <c r="D66" s="378"/>
      <c r="E66" s="24" t="s">
        <v>390</v>
      </c>
      <c r="F66" s="24" t="s">
        <v>141</v>
      </c>
      <c r="G66" s="24" t="s">
        <v>393</v>
      </c>
      <c r="H66" s="379" t="s">
        <v>394</v>
      </c>
      <c r="I66" s="380"/>
      <c r="J66" s="109"/>
      <c r="K66" s="110">
        <v>20</v>
      </c>
      <c r="L66">
        <f>SUM(K65:K66)</f>
        <v>70</v>
      </c>
    </row>
    <row r="67" spans="2:13" ht="16" thickBot="1" x14ac:dyDescent="0.25">
      <c r="B67" s="369"/>
      <c r="C67" s="119"/>
      <c r="D67" s="10"/>
      <c r="E67" s="13"/>
      <c r="F67" s="13"/>
      <c r="G67" s="13"/>
      <c r="H67" s="13"/>
      <c r="I67" s="13"/>
      <c r="J67" s="13"/>
      <c r="K67" s="135"/>
    </row>
    <row r="68" spans="2:13" ht="16" thickBot="1" x14ac:dyDescent="0.25">
      <c r="B68" s="369"/>
      <c r="C68" s="134" t="s">
        <v>143</v>
      </c>
      <c r="D68" s="124" t="s">
        <v>142</v>
      </c>
      <c r="E68" s="376" t="s">
        <v>391</v>
      </c>
      <c r="F68" s="376"/>
      <c r="G68" s="127" t="s">
        <v>113</v>
      </c>
      <c r="H68" s="125"/>
      <c r="I68" s="125"/>
      <c r="J68" s="125"/>
      <c r="K68" s="126"/>
    </row>
    <row r="69" spans="2:13" ht="16" thickBot="1" x14ac:dyDescent="0.25">
      <c r="B69" s="369"/>
      <c r="C69" s="119"/>
      <c r="D69" s="10"/>
      <c r="E69" s="13"/>
      <c r="F69" s="13"/>
      <c r="G69" s="13"/>
      <c r="H69" s="13"/>
      <c r="I69" s="13"/>
      <c r="J69" s="13"/>
      <c r="K69" s="135"/>
    </row>
    <row r="70" spans="2:13" x14ac:dyDescent="0.2">
      <c r="B70" s="369"/>
      <c r="C70" s="372" t="s">
        <v>145</v>
      </c>
      <c r="D70" s="337" t="s">
        <v>144</v>
      </c>
      <c r="E70" s="52" t="s">
        <v>3</v>
      </c>
      <c r="F70" s="106" t="s">
        <v>148</v>
      </c>
      <c r="G70" s="106"/>
      <c r="H70" s="106"/>
      <c r="I70" s="106"/>
      <c r="J70" s="106"/>
      <c r="K70" s="107">
        <v>120</v>
      </c>
    </row>
    <row r="71" spans="2:13" x14ac:dyDescent="0.2">
      <c r="B71" s="369"/>
      <c r="C71" s="374"/>
      <c r="D71" s="331"/>
      <c r="E71" s="18" t="s">
        <v>146</v>
      </c>
      <c r="F71" s="49" t="s">
        <v>149</v>
      </c>
      <c r="G71" s="49"/>
      <c r="H71" s="49"/>
      <c r="I71" s="49"/>
      <c r="J71" s="49"/>
      <c r="K71" s="108">
        <v>250</v>
      </c>
    </row>
    <row r="72" spans="2:13" ht="16" thickBot="1" x14ac:dyDescent="0.25">
      <c r="B72" s="369"/>
      <c r="C72" s="373"/>
      <c r="D72" s="371"/>
      <c r="E72" s="23" t="s">
        <v>147</v>
      </c>
      <c r="F72" s="109" t="s">
        <v>150</v>
      </c>
      <c r="G72" s="109"/>
      <c r="H72" s="109"/>
      <c r="I72" s="109"/>
      <c r="J72" s="109"/>
      <c r="K72" s="110">
        <v>80</v>
      </c>
      <c r="L72">
        <f>SUM(K70:K72)</f>
        <v>450</v>
      </c>
    </row>
    <row r="73" spans="2:13" ht="16" thickBot="1" x14ac:dyDescent="0.25">
      <c r="B73" s="369"/>
      <c r="C73" s="119"/>
      <c r="D73" s="10"/>
      <c r="E73" s="13"/>
      <c r="F73" s="13"/>
      <c r="G73" s="13"/>
      <c r="H73" s="13"/>
      <c r="I73" s="13"/>
      <c r="J73" s="13"/>
      <c r="K73" s="135"/>
      <c r="L73" s="1"/>
      <c r="M73" s="1"/>
    </row>
    <row r="74" spans="2:13" x14ac:dyDescent="0.2">
      <c r="B74" s="369"/>
      <c r="C74" s="372" t="s">
        <v>162</v>
      </c>
      <c r="D74" s="337" t="s">
        <v>161</v>
      </c>
      <c r="E74" s="131" t="s">
        <v>163</v>
      </c>
      <c r="F74" s="118" t="s">
        <v>166</v>
      </c>
      <c r="G74" s="106"/>
      <c r="H74" s="106"/>
      <c r="I74" s="106"/>
      <c r="J74" s="106"/>
      <c r="K74" s="130">
        <v>50</v>
      </c>
    </row>
    <row r="75" spans="2:13" x14ac:dyDescent="0.2">
      <c r="B75" s="369"/>
      <c r="C75" s="374"/>
      <c r="D75" s="331"/>
      <c r="E75" s="9" t="s">
        <v>164</v>
      </c>
      <c r="F75" s="22" t="s">
        <v>167</v>
      </c>
      <c r="G75" s="49" t="s">
        <v>398</v>
      </c>
      <c r="H75" s="49" t="s">
        <v>399</v>
      </c>
      <c r="I75" s="49" t="s">
        <v>400</v>
      </c>
      <c r="J75" s="49"/>
      <c r="K75" s="108"/>
      <c r="L75">
        <f>843+25*3</f>
        <v>918</v>
      </c>
      <c r="M75">
        <f>1190+25*3</f>
        <v>1265</v>
      </c>
    </row>
    <row r="76" spans="2:13" ht="16" thickBot="1" x14ac:dyDescent="0.25">
      <c r="B76" s="370"/>
      <c r="C76" s="373"/>
      <c r="D76" s="371"/>
      <c r="E76" s="132" t="s">
        <v>165</v>
      </c>
      <c r="F76" s="24" t="s">
        <v>168</v>
      </c>
      <c r="G76" s="109"/>
      <c r="H76" s="109"/>
      <c r="I76" s="109"/>
      <c r="J76" s="109"/>
      <c r="K76" s="110"/>
    </row>
    <row r="77" spans="2:13" ht="16" thickBot="1" x14ac:dyDescent="0.25"/>
    <row r="78" spans="2:13" ht="16" thickBot="1" x14ac:dyDescent="0.25">
      <c r="L78" s="83" t="s">
        <v>403</v>
      </c>
      <c r="M78" s="139" t="s">
        <v>404</v>
      </c>
    </row>
    <row r="79" spans="2:13" ht="16" thickBot="1" x14ac:dyDescent="0.25">
      <c r="K79" s="136" t="s">
        <v>132</v>
      </c>
      <c r="L79" s="140">
        <f>L35+L45+L57+L61+L72+L66+K74+L75</f>
        <v>4275.1000000000004</v>
      </c>
      <c r="M79" s="137">
        <f>L61+L57+M45+L35+L72+L66+K74+M75</f>
        <v>4980.1000000000004</v>
      </c>
    </row>
    <row r="80" spans="2:13" ht="16" thickBot="1" x14ac:dyDescent="0.25"/>
    <row r="81" spans="1:12" ht="15" customHeight="1" x14ac:dyDescent="0.2">
      <c r="B81" s="384" t="s">
        <v>169</v>
      </c>
      <c r="C81" s="397" t="s">
        <v>171</v>
      </c>
      <c r="D81" s="394" t="s">
        <v>170</v>
      </c>
      <c r="E81" s="106" t="s">
        <v>406</v>
      </c>
      <c r="F81" s="106"/>
      <c r="G81" s="106"/>
      <c r="H81" s="106"/>
      <c r="I81" s="106"/>
      <c r="J81" s="106"/>
      <c r="K81" s="107">
        <v>20</v>
      </c>
    </row>
    <row r="82" spans="1:12" ht="15" customHeight="1" x14ac:dyDescent="0.2">
      <c r="B82" s="390"/>
      <c r="C82" s="398"/>
      <c r="D82" s="395"/>
      <c r="E82" s="143" t="s">
        <v>407</v>
      </c>
      <c r="F82" s="143"/>
      <c r="G82" s="143"/>
      <c r="H82" s="143"/>
      <c r="I82" s="143"/>
      <c r="J82" s="143"/>
      <c r="K82" s="144">
        <v>60</v>
      </c>
    </row>
    <row r="83" spans="1:12" ht="15" customHeight="1" thickBot="1" x14ac:dyDescent="0.25">
      <c r="B83" s="390"/>
      <c r="C83" s="399"/>
      <c r="D83" s="396"/>
      <c r="E83" s="145" t="s">
        <v>408</v>
      </c>
      <c r="F83" s="145"/>
      <c r="G83" s="145"/>
      <c r="H83" s="145"/>
      <c r="I83" s="145"/>
      <c r="J83" s="145"/>
      <c r="K83" s="146">
        <v>10</v>
      </c>
    </row>
    <row r="84" spans="1:12" ht="15" customHeight="1" thickBot="1" x14ac:dyDescent="0.25">
      <c r="B84" s="391"/>
      <c r="C84" s="13"/>
      <c r="D84" s="13"/>
      <c r="E84" s="13"/>
      <c r="F84" s="13"/>
      <c r="G84" s="13"/>
      <c r="H84" s="13"/>
      <c r="I84" s="13"/>
      <c r="J84" s="13"/>
      <c r="K84" s="82"/>
    </row>
    <row r="85" spans="1:12" ht="16" thickBot="1" x14ac:dyDescent="0.25">
      <c r="B85" s="386"/>
      <c r="C85" s="147" t="s">
        <v>173</v>
      </c>
      <c r="D85" s="148" t="s">
        <v>172</v>
      </c>
      <c r="E85" s="125"/>
      <c r="F85" s="125"/>
      <c r="G85" s="125"/>
      <c r="H85" s="125"/>
      <c r="I85" s="125"/>
      <c r="J85" s="125"/>
      <c r="K85" s="126"/>
    </row>
    <row r="86" spans="1:12" x14ac:dyDescent="0.2">
      <c r="B86" s="385"/>
      <c r="C86" s="13"/>
      <c r="D86" s="13"/>
      <c r="E86" s="13"/>
      <c r="F86" s="13"/>
      <c r="G86" s="13"/>
      <c r="H86" s="13"/>
      <c r="I86" s="13"/>
      <c r="J86" s="13"/>
      <c r="K86" s="82"/>
    </row>
    <row r="87" spans="1:12" x14ac:dyDescent="0.2">
      <c r="B87" s="385"/>
      <c r="C87" s="141" t="s">
        <v>175</v>
      </c>
      <c r="D87" s="9" t="s">
        <v>405</v>
      </c>
      <c r="E87" s="49" t="s">
        <v>409</v>
      </c>
      <c r="F87" s="49"/>
      <c r="G87" s="49"/>
      <c r="H87" s="49"/>
      <c r="I87" s="49"/>
      <c r="J87" s="49"/>
      <c r="K87" s="111">
        <v>100</v>
      </c>
    </row>
    <row r="88" spans="1:12" x14ac:dyDescent="0.2">
      <c r="B88" s="392"/>
      <c r="C88" s="13"/>
      <c r="D88" s="13"/>
      <c r="E88" s="13"/>
      <c r="F88" s="13"/>
      <c r="G88" s="13"/>
      <c r="H88" s="13"/>
      <c r="I88" s="13"/>
      <c r="J88" s="13"/>
      <c r="K88" s="82"/>
    </row>
    <row r="89" spans="1:12" ht="16" thickBot="1" x14ac:dyDescent="0.25">
      <c r="B89" s="393"/>
      <c r="C89" s="142" t="s">
        <v>177</v>
      </c>
      <c r="D89" s="132" t="s">
        <v>176</v>
      </c>
      <c r="E89" s="109"/>
      <c r="F89" s="109"/>
      <c r="G89" s="109"/>
      <c r="H89" s="109"/>
      <c r="I89" s="109"/>
      <c r="J89" s="109"/>
      <c r="K89" s="110"/>
    </row>
    <row r="90" spans="1:12" ht="16" thickBot="1" x14ac:dyDescent="0.25"/>
    <row r="91" spans="1:12" ht="16" thickBot="1" x14ac:dyDescent="0.25">
      <c r="K91" s="136" t="s">
        <v>101</v>
      </c>
      <c r="L91" s="149">
        <f>SUM(K81:K89)</f>
        <v>190</v>
      </c>
    </row>
    <row r="92" spans="1:12" ht="16" thickBot="1" x14ac:dyDescent="0.25"/>
    <row r="93" spans="1:12" ht="15" customHeight="1" thickBot="1" x14ac:dyDescent="0.25">
      <c r="B93" s="384" t="s">
        <v>178</v>
      </c>
      <c r="C93" s="123" t="s">
        <v>180</v>
      </c>
      <c r="D93" s="126" t="s">
        <v>179</v>
      </c>
      <c r="E93" s="406" t="s">
        <v>412</v>
      </c>
      <c r="F93" s="407"/>
      <c r="G93" s="106" t="s">
        <v>413</v>
      </c>
      <c r="H93" s="106" t="s">
        <v>416</v>
      </c>
      <c r="I93" s="106"/>
      <c r="J93" s="106"/>
      <c r="K93" s="107">
        <f>15*30+15*20+15*8+5*12+15</f>
        <v>945</v>
      </c>
    </row>
    <row r="94" spans="1:12" ht="16" thickBot="1" x14ac:dyDescent="0.25">
      <c r="B94" s="385"/>
      <c r="C94" s="13"/>
      <c r="D94" s="13"/>
      <c r="E94" s="13"/>
      <c r="F94" s="13"/>
      <c r="G94" s="13"/>
      <c r="H94" s="13"/>
      <c r="I94" s="13"/>
      <c r="J94" s="13"/>
      <c r="K94" s="82"/>
    </row>
    <row r="95" spans="1:12" x14ac:dyDescent="0.2">
      <c r="B95" s="386"/>
      <c r="C95" s="388" t="s">
        <v>182</v>
      </c>
      <c r="D95" s="337" t="s">
        <v>181</v>
      </c>
      <c r="E95" s="18" t="s">
        <v>410</v>
      </c>
      <c r="F95" s="49" t="s">
        <v>185</v>
      </c>
      <c r="G95" s="49" t="s">
        <v>415</v>
      </c>
      <c r="H95" s="49" t="s">
        <v>414</v>
      </c>
      <c r="I95" s="49"/>
      <c r="J95" s="49"/>
      <c r="K95" s="108">
        <f>300*2+54*2</f>
        <v>708</v>
      </c>
    </row>
    <row r="96" spans="1:12" ht="16" thickBot="1" x14ac:dyDescent="0.25">
      <c r="A96" s="116"/>
      <c r="B96" s="387"/>
      <c r="C96" s="389"/>
      <c r="D96" s="371"/>
      <c r="E96" s="132" t="s">
        <v>411</v>
      </c>
      <c r="F96" s="109" t="s">
        <v>186</v>
      </c>
      <c r="G96" s="109"/>
      <c r="H96" s="109"/>
      <c r="I96" s="109"/>
      <c r="J96" s="109"/>
      <c r="K96" s="110">
        <v>25</v>
      </c>
    </row>
    <row r="97" spans="1:16" ht="16" thickBot="1" x14ac:dyDescent="0.25">
      <c r="A97" s="116"/>
      <c r="B97" s="116"/>
    </row>
    <row r="98" spans="1:16" ht="16" thickBot="1" x14ac:dyDescent="0.25">
      <c r="A98" s="116"/>
      <c r="B98" s="116"/>
      <c r="K98" s="136" t="s">
        <v>102</v>
      </c>
      <c r="L98" s="149">
        <f>SUM(K93:K96)</f>
        <v>1678</v>
      </c>
    </row>
    <row r="99" spans="1:16" ht="16" thickBot="1" x14ac:dyDescent="0.25">
      <c r="A99" s="116"/>
      <c r="B99" s="116"/>
    </row>
    <row r="100" spans="1:16" x14ac:dyDescent="0.2">
      <c r="A100" s="116"/>
      <c r="B100" s="368" t="s">
        <v>190</v>
      </c>
      <c r="C100" s="87" t="s">
        <v>3</v>
      </c>
      <c r="D100" s="88" t="s">
        <v>191</v>
      </c>
      <c r="E100" s="58"/>
      <c r="F100" s="58"/>
      <c r="G100" s="58"/>
      <c r="H100" s="58"/>
      <c r="I100" s="58"/>
      <c r="J100" s="58"/>
      <c r="K100" s="58"/>
      <c r="L100" s="58"/>
      <c r="M100" s="58"/>
      <c r="N100" s="58"/>
      <c r="O100" s="58"/>
      <c r="P100" s="79"/>
    </row>
    <row r="101" spans="1:16" ht="16" thickBot="1" x14ac:dyDescent="0.25">
      <c r="B101" s="369"/>
      <c r="C101" s="89"/>
      <c r="D101" s="90"/>
      <c r="E101" s="13"/>
      <c r="F101" s="13"/>
      <c r="G101" s="13"/>
      <c r="H101" s="13"/>
      <c r="I101" s="13"/>
      <c r="J101" s="13"/>
      <c r="K101" s="13"/>
      <c r="L101" s="13"/>
      <c r="M101" s="13"/>
      <c r="N101" s="13"/>
      <c r="O101" s="13"/>
      <c r="P101" s="82"/>
    </row>
    <row r="102" spans="1:16" ht="16" thickBot="1" x14ac:dyDescent="0.25">
      <c r="B102" s="369"/>
      <c r="C102" s="10"/>
      <c r="D102" s="13"/>
      <c r="E102" s="13"/>
      <c r="F102" s="13"/>
      <c r="G102" s="13"/>
      <c r="H102" s="13"/>
      <c r="I102" s="13"/>
      <c r="J102" s="13"/>
      <c r="K102" s="13"/>
      <c r="L102" s="13"/>
      <c r="M102" s="13"/>
      <c r="N102" s="13"/>
      <c r="O102" s="13"/>
      <c r="P102" s="159" t="s">
        <v>417</v>
      </c>
    </row>
    <row r="103" spans="1:16" x14ac:dyDescent="0.2">
      <c r="B103" s="369"/>
      <c r="C103" s="87" t="s">
        <v>192</v>
      </c>
      <c r="D103" s="88" t="s">
        <v>193</v>
      </c>
      <c r="E103" s="151" t="s">
        <v>194</v>
      </c>
      <c r="F103" s="92" t="s">
        <v>66</v>
      </c>
      <c r="G103" s="92" t="s">
        <v>195</v>
      </c>
      <c r="H103" s="92" t="s">
        <v>196</v>
      </c>
      <c r="I103" s="58"/>
      <c r="J103" s="58"/>
      <c r="K103" s="58"/>
      <c r="L103" s="58"/>
      <c r="M103" s="58"/>
      <c r="N103" s="58"/>
      <c r="O103" s="58"/>
      <c r="P103" s="404">
        <v>20</v>
      </c>
    </row>
    <row r="104" spans="1:16" ht="16" thickBot="1" x14ac:dyDescent="0.25">
      <c r="B104" s="369"/>
      <c r="C104" s="89"/>
      <c r="D104" s="90"/>
      <c r="E104" s="152" t="s">
        <v>197</v>
      </c>
      <c r="F104" s="95" t="s">
        <v>198</v>
      </c>
      <c r="G104" s="95" t="s">
        <v>199</v>
      </c>
      <c r="H104" s="95" t="s">
        <v>200</v>
      </c>
      <c r="I104" s="35"/>
      <c r="J104" s="35"/>
      <c r="K104" s="35"/>
      <c r="L104" s="35"/>
      <c r="M104" s="35"/>
      <c r="N104" s="35"/>
      <c r="O104" s="35"/>
      <c r="P104" s="405"/>
    </row>
    <row r="105" spans="1:16" ht="16" thickBot="1" x14ac:dyDescent="0.25">
      <c r="B105" s="369"/>
      <c r="C105" s="10"/>
      <c r="D105" s="13"/>
      <c r="E105" s="13"/>
      <c r="F105" s="13"/>
      <c r="G105" s="13"/>
      <c r="H105" s="13"/>
      <c r="I105" s="13"/>
      <c r="J105" s="13"/>
      <c r="K105" s="13"/>
      <c r="L105" s="13"/>
      <c r="M105" s="13"/>
      <c r="N105" s="13"/>
      <c r="O105" s="13"/>
      <c r="P105" s="161"/>
    </row>
    <row r="106" spans="1:16" x14ac:dyDescent="0.2">
      <c r="B106" s="369"/>
      <c r="C106" s="87" t="s">
        <v>201</v>
      </c>
      <c r="D106" s="87" t="s">
        <v>202</v>
      </c>
      <c r="E106" s="151" t="s">
        <v>203</v>
      </c>
      <c r="F106" s="92" t="s">
        <v>204</v>
      </c>
      <c r="G106" s="92" t="s">
        <v>205</v>
      </c>
      <c r="H106" s="92" t="s">
        <v>206</v>
      </c>
      <c r="I106" s="92" t="s">
        <v>207</v>
      </c>
      <c r="J106" s="92" t="s">
        <v>208</v>
      </c>
      <c r="K106" s="92" t="s">
        <v>209</v>
      </c>
      <c r="L106" s="92" t="s">
        <v>210</v>
      </c>
      <c r="M106" s="92" t="s">
        <v>211</v>
      </c>
      <c r="N106" s="92" t="s">
        <v>68</v>
      </c>
      <c r="O106" s="155" t="s">
        <v>212</v>
      </c>
      <c r="P106" s="401">
        <f>E108+N108</f>
        <v>100</v>
      </c>
    </row>
    <row r="107" spans="1:16" ht="16" thickBot="1" x14ac:dyDescent="0.25">
      <c r="B107" s="369"/>
      <c r="C107" s="89"/>
      <c r="D107" s="89"/>
      <c r="E107" s="156" t="s">
        <v>213</v>
      </c>
      <c r="F107" s="103" t="s">
        <v>214</v>
      </c>
      <c r="G107" s="103" t="s">
        <v>215</v>
      </c>
      <c r="H107" s="103" t="s">
        <v>216</v>
      </c>
      <c r="I107" s="103" t="s">
        <v>217</v>
      </c>
      <c r="J107" s="103" t="s">
        <v>218</v>
      </c>
      <c r="K107" s="103" t="s">
        <v>219</v>
      </c>
      <c r="L107" s="103" t="s">
        <v>220</v>
      </c>
      <c r="M107" s="103" t="s">
        <v>221</v>
      </c>
      <c r="N107" s="103" t="s">
        <v>222</v>
      </c>
      <c r="O107" s="150" t="s">
        <v>223</v>
      </c>
      <c r="P107" s="402"/>
    </row>
    <row r="108" spans="1:16" ht="16" thickBot="1" x14ac:dyDescent="0.25">
      <c r="B108" s="369"/>
      <c r="C108" s="10"/>
      <c r="D108" s="13"/>
      <c r="E108" s="157">
        <v>50</v>
      </c>
      <c r="F108" s="24"/>
      <c r="G108" s="24"/>
      <c r="H108" s="24"/>
      <c r="I108" s="24"/>
      <c r="J108" s="24"/>
      <c r="K108" s="24"/>
      <c r="L108" s="24"/>
      <c r="M108" s="24"/>
      <c r="N108" s="24">
        <v>50</v>
      </c>
      <c r="O108" s="158"/>
      <c r="P108" s="403"/>
    </row>
    <row r="109" spans="1:16" x14ac:dyDescent="0.2">
      <c r="B109" s="369"/>
      <c r="C109" s="87" t="s">
        <v>0</v>
      </c>
      <c r="D109" s="88" t="s">
        <v>224</v>
      </c>
      <c r="E109" s="13"/>
      <c r="F109" s="13"/>
      <c r="G109" s="13"/>
      <c r="H109" s="13"/>
      <c r="I109" s="13"/>
      <c r="J109" s="13"/>
      <c r="K109" s="13"/>
      <c r="L109" s="13"/>
      <c r="M109" s="13"/>
      <c r="N109" s="13"/>
      <c r="O109" s="13"/>
      <c r="P109" s="162"/>
    </row>
    <row r="110" spans="1:16" ht="16" thickBot="1" x14ac:dyDescent="0.25">
      <c r="B110" s="369"/>
      <c r="C110" s="89"/>
      <c r="D110" s="90"/>
      <c r="E110" s="13"/>
      <c r="F110" s="13"/>
      <c r="G110" s="13"/>
      <c r="H110" s="13"/>
      <c r="I110" s="13"/>
      <c r="J110" s="13"/>
      <c r="K110" s="13"/>
      <c r="L110" s="13"/>
      <c r="M110" s="13"/>
      <c r="N110" s="13"/>
      <c r="O110" s="13"/>
      <c r="P110" s="162"/>
    </row>
    <row r="111" spans="1:16" ht="16" thickBot="1" x14ac:dyDescent="0.25">
      <c r="B111" s="369"/>
      <c r="C111" s="10"/>
      <c r="D111" s="13"/>
      <c r="E111" s="13"/>
      <c r="F111" s="13"/>
      <c r="G111" s="13"/>
      <c r="H111" s="13"/>
      <c r="I111" s="13"/>
      <c r="J111" s="13"/>
      <c r="K111" s="13"/>
      <c r="L111" s="13"/>
      <c r="M111" s="13"/>
      <c r="N111" s="13"/>
      <c r="O111" s="13"/>
      <c r="P111" s="162"/>
    </row>
    <row r="112" spans="1:16" x14ac:dyDescent="0.2">
      <c r="B112" s="369"/>
      <c r="C112" s="87" t="s">
        <v>225</v>
      </c>
      <c r="D112" s="88" t="s">
        <v>226</v>
      </c>
      <c r="E112" s="138" t="s">
        <v>421</v>
      </c>
      <c r="F112" s="6" t="s">
        <v>422</v>
      </c>
      <c r="G112" s="6"/>
      <c r="H112" s="58"/>
      <c r="I112" s="58"/>
      <c r="J112" s="58"/>
      <c r="K112" s="58"/>
      <c r="L112" s="58"/>
      <c r="M112" s="58"/>
      <c r="N112" s="58"/>
      <c r="O112" s="58"/>
      <c r="P112" s="404">
        <f>E113*17+F113*0.8</f>
        <v>613</v>
      </c>
    </row>
    <row r="113" spans="2:16" ht="16" thickBot="1" x14ac:dyDescent="0.25">
      <c r="B113" s="369"/>
      <c r="C113" s="89"/>
      <c r="D113" s="90"/>
      <c r="E113" s="160">
        <v>33</v>
      </c>
      <c r="F113" s="36">
        <v>65</v>
      </c>
      <c r="G113" s="36"/>
      <c r="H113" s="35"/>
      <c r="I113" s="35"/>
      <c r="J113" s="35"/>
      <c r="K113" s="35"/>
      <c r="L113" s="35"/>
      <c r="M113" s="35"/>
      <c r="N113" s="35"/>
      <c r="O113" s="35"/>
      <c r="P113" s="405"/>
    </row>
    <row r="114" spans="2:16" ht="16" thickBot="1" x14ac:dyDescent="0.25">
      <c r="B114" s="369"/>
      <c r="C114" s="10"/>
      <c r="D114" s="13"/>
      <c r="E114" s="13"/>
      <c r="F114" s="13"/>
      <c r="G114" s="13"/>
      <c r="H114" s="13"/>
      <c r="I114" s="13"/>
      <c r="J114" s="13"/>
      <c r="K114" s="13"/>
      <c r="L114" s="13"/>
      <c r="M114" s="13"/>
      <c r="N114" s="13"/>
      <c r="O114" s="13"/>
      <c r="P114" s="161"/>
    </row>
    <row r="115" spans="2:16" x14ac:dyDescent="0.2">
      <c r="B115" s="369"/>
      <c r="C115" s="87" t="s">
        <v>227</v>
      </c>
      <c r="D115" s="88" t="s">
        <v>228</v>
      </c>
      <c r="E115" s="151" t="s">
        <v>194</v>
      </c>
      <c r="F115" s="92" t="s">
        <v>229</v>
      </c>
      <c r="G115" s="92" t="s">
        <v>230</v>
      </c>
      <c r="H115" s="92" t="s">
        <v>231</v>
      </c>
      <c r="I115" s="58"/>
      <c r="J115" s="58"/>
      <c r="K115" s="58"/>
      <c r="L115" s="58"/>
      <c r="M115" s="58"/>
      <c r="N115" s="58"/>
      <c r="O115" s="58"/>
      <c r="P115" s="401">
        <v>50</v>
      </c>
    </row>
    <row r="116" spans="2:16" ht="16" thickBot="1" x14ac:dyDescent="0.25">
      <c r="B116" s="369"/>
      <c r="C116" s="89"/>
      <c r="D116" s="90"/>
      <c r="E116" s="152" t="s">
        <v>232</v>
      </c>
      <c r="F116" s="95" t="s">
        <v>233</v>
      </c>
      <c r="G116" s="95" t="s">
        <v>234</v>
      </c>
      <c r="H116" s="95" t="s">
        <v>235</v>
      </c>
      <c r="I116" s="35"/>
      <c r="J116" s="35"/>
      <c r="K116" s="35"/>
      <c r="L116" s="35"/>
      <c r="M116" s="35"/>
      <c r="N116" s="35"/>
      <c r="O116" s="35"/>
      <c r="P116" s="403"/>
    </row>
    <row r="117" spans="2:16" ht="16" thickBot="1" x14ac:dyDescent="0.25">
      <c r="B117" s="369"/>
      <c r="C117" s="10"/>
      <c r="D117" s="13"/>
      <c r="E117" s="13"/>
      <c r="F117" s="13"/>
      <c r="G117" s="13"/>
      <c r="H117" s="13"/>
      <c r="I117" s="13"/>
      <c r="J117" s="13"/>
      <c r="K117" s="13"/>
      <c r="L117" s="13"/>
      <c r="M117" s="13"/>
      <c r="N117" s="13"/>
      <c r="O117" s="13"/>
      <c r="P117" s="162"/>
    </row>
    <row r="118" spans="2:16" x14ac:dyDescent="0.2">
      <c r="B118" s="369"/>
      <c r="C118" s="87" t="s">
        <v>419</v>
      </c>
      <c r="D118" s="153" t="s">
        <v>420</v>
      </c>
      <c r="E118" s="58"/>
      <c r="F118" s="58"/>
      <c r="G118" s="58"/>
      <c r="H118" s="58"/>
      <c r="I118" s="58"/>
      <c r="J118" s="58"/>
      <c r="K118" s="58"/>
      <c r="L118" s="58"/>
      <c r="M118" s="58"/>
      <c r="N118" s="58"/>
      <c r="O118" s="58"/>
      <c r="P118" s="401">
        <v>25</v>
      </c>
    </row>
    <row r="119" spans="2:16" ht="16" thickBot="1" x14ac:dyDescent="0.25">
      <c r="B119" s="370"/>
      <c r="C119" s="89"/>
      <c r="D119" s="154"/>
      <c r="E119" s="35"/>
      <c r="F119" s="35"/>
      <c r="G119" s="35"/>
      <c r="H119" s="35"/>
      <c r="I119" s="35"/>
      <c r="J119" s="35"/>
      <c r="K119" s="35"/>
      <c r="L119" s="35"/>
      <c r="M119" s="35"/>
      <c r="N119" s="35"/>
      <c r="O119" s="35"/>
      <c r="P119" s="403"/>
    </row>
    <row r="120" spans="2:16" ht="16" thickBot="1" x14ac:dyDescent="0.25"/>
    <row r="121" spans="2:16" x14ac:dyDescent="0.2">
      <c r="B121" s="368" t="s">
        <v>236</v>
      </c>
      <c r="C121" s="87" t="s">
        <v>201</v>
      </c>
      <c r="D121" s="88" t="s">
        <v>237</v>
      </c>
      <c r="E121" s="92" t="s">
        <v>203</v>
      </c>
      <c r="F121" s="92" t="s">
        <v>204</v>
      </c>
      <c r="G121" s="92" t="s">
        <v>205</v>
      </c>
      <c r="H121" s="92" t="s">
        <v>206</v>
      </c>
      <c r="I121" s="92" t="s">
        <v>207</v>
      </c>
      <c r="J121" s="92" t="s">
        <v>208</v>
      </c>
      <c r="K121" s="92" t="s">
        <v>209</v>
      </c>
      <c r="L121" s="92" t="s">
        <v>210</v>
      </c>
      <c r="M121" s="92" t="s">
        <v>211</v>
      </c>
      <c r="N121" s="92" t="s">
        <v>68</v>
      </c>
      <c r="O121" s="93" t="s">
        <v>212</v>
      </c>
      <c r="P121" s="408" t="s">
        <v>423</v>
      </c>
    </row>
    <row r="122" spans="2:16" ht="15" customHeight="1" thickBot="1" x14ac:dyDescent="0.25">
      <c r="B122" s="369"/>
      <c r="C122" s="89"/>
      <c r="D122" s="90"/>
      <c r="E122" s="103" t="s">
        <v>238</v>
      </c>
      <c r="F122" s="103" t="s">
        <v>239</v>
      </c>
      <c r="G122" s="103" t="s">
        <v>240</v>
      </c>
      <c r="H122" s="103" t="s">
        <v>241</v>
      </c>
      <c r="I122" s="103" t="s">
        <v>242</v>
      </c>
      <c r="J122" s="103" t="s">
        <v>243</v>
      </c>
      <c r="K122" s="103" t="s">
        <v>244</v>
      </c>
      <c r="L122" s="103" t="s">
        <v>245</v>
      </c>
      <c r="M122" s="103" t="s">
        <v>246</v>
      </c>
      <c r="N122" s="103" t="s">
        <v>247</v>
      </c>
      <c r="O122" s="104" t="s">
        <v>248</v>
      </c>
      <c r="P122" s="408"/>
    </row>
    <row r="123" spans="2:16" ht="16" thickBot="1" x14ac:dyDescent="0.25">
      <c r="B123" s="369"/>
      <c r="C123" s="10"/>
      <c r="D123" s="13"/>
      <c r="E123" s="13"/>
      <c r="F123" s="13"/>
      <c r="G123" s="13"/>
      <c r="H123" s="13"/>
      <c r="I123" s="13"/>
      <c r="J123" s="13"/>
      <c r="K123" s="13"/>
      <c r="L123" s="13"/>
      <c r="M123" s="13"/>
      <c r="N123" s="13"/>
      <c r="O123" s="82"/>
    </row>
    <row r="124" spans="2:16" x14ac:dyDescent="0.2">
      <c r="B124" s="369"/>
      <c r="C124" s="87" t="s">
        <v>249</v>
      </c>
      <c r="D124" s="88" t="s">
        <v>250</v>
      </c>
      <c r="E124" s="13"/>
      <c r="F124" s="13"/>
      <c r="G124" s="13"/>
      <c r="H124" s="13"/>
      <c r="I124" s="13"/>
      <c r="J124" s="13"/>
      <c r="K124" s="13"/>
      <c r="L124" s="13"/>
      <c r="M124" s="13"/>
      <c r="N124" s="13"/>
      <c r="O124" s="82"/>
    </row>
    <row r="125" spans="2:16" ht="16" thickBot="1" x14ac:dyDescent="0.25">
      <c r="B125" s="369"/>
      <c r="C125" s="89"/>
      <c r="D125" s="90"/>
      <c r="E125" s="13"/>
      <c r="F125" s="13"/>
      <c r="G125" s="13"/>
      <c r="H125" s="13"/>
      <c r="I125" s="13"/>
      <c r="J125" s="13"/>
      <c r="K125" s="13"/>
      <c r="L125" s="13"/>
      <c r="M125" s="13"/>
      <c r="N125" s="13"/>
      <c r="O125" s="82"/>
    </row>
    <row r="126" spans="2:16" ht="16" thickBot="1" x14ac:dyDescent="0.25">
      <c r="B126" s="369"/>
      <c r="C126" s="10"/>
      <c r="D126" s="13"/>
      <c r="E126" s="13"/>
      <c r="F126" s="13"/>
      <c r="G126" s="13"/>
      <c r="H126" s="13"/>
      <c r="I126" s="13"/>
      <c r="J126" s="13"/>
      <c r="K126" s="13"/>
      <c r="L126" s="13"/>
      <c r="M126" s="13"/>
      <c r="N126" s="13"/>
      <c r="O126" s="82"/>
    </row>
    <row r="127" spans="2:16" x14ac:dyDescent="0.2">
      <c r="B127" s="369"/>
      <c r="C127" s="366" t="s">
        <v>251</v>
      </c>
      <c r="D127" s="88" t="s">
        <v>252</v>
      </c>
      <c r="E127" s="13"/>
      <c r="F127" s="13"/>
      <c r="G127" s="13"/>
      <c r="H127" s="13"/>
      <c r="I127" s="13"/>
      <c r="J127" s="13"/>
      <c r="K127" s="13"/>
      <c r="L127" s="13"/>
      <c r="M127" s="13"/>
      <c r="N127" s="13"/>
      <c r="O127" s="82"/>
    </row>
    <row r="128" spans="2:16" ht="16" thickBot="1" x14ac:dyDescent="0.25">
      <c r="B128" s="370"/>
      <c r="C128" s="367"/>
      <c r="D128" s="90"/>
      <c r="E128" s="35"/>
      <c r="F128" s="35"/>
      <c r="G128" s="35"/>
      <c r="H128" s="35"/>
      <c r="I128" s="35"/>
      <c r="J128" s="35"/>
      <c r="K128" s="35"/>
      <c r="L128" s="35"/>
      <c r="M128" s="35"/>
      <c r="N128" s="35"/>
      <c r="O128" s="85"/>
    </row>
    <row r="129" spans="2:16" ht="16" thickBot="1" x14ac:dyDescent="0.25">
      <c r="B129" s="105"/>
    </row>
    <row r="130" spans="2:16" x14ac:dyDescent="0.2">
      <c r="B130" s="368" t="s">
        <v>253</v>
      </c>
      <c r="C130" s="101" t="s">
        <v>192</v>
      </c>
      <c r="D130" s="88" t="s">
        <v>254</v>
      </c>
      <c r="E130" s="92" t="s">
        <v>194</v>
      </c>
      <c r="F130" s="92" t="s">
        <v>66</v>
      </c>
      <c r="G130" s="92" t="s">
        <v>195</v>
      </c>
      <c r="H130" s="92" t="s">
        <v>196</v>
      </c>
      <c r="I130" s="6"/>
      <c r="J130" s="58"/>
      <c r="K130" s="58"/>
      <c r="L130" s="58"/>
      <c r="M130" s="58"/>
      <c r="N130" s="58"/>
      <c r="O130" s="79"/>
      <c r="P130" s="408" t="s">
        <v>423</v>
      </c>
    </row>
    <row r="131" spans="2:16" ht="16" thickBot="1" x14ac:dyDescent="0.25">
      <c r="B131" s="369"/>
      <c r="C131" s="102"/>
      <c r="D131" s="90"/>
      <c r="E131" s="103" t="s">
        <v>255</v>
      </c>
      <c r="F131" s="103" t="s">
        <v>256</v>
      </c>
      <c r="G131" s="103" t="s">
        <v>257</v>
      </c>
      <c r="H131" s="103" t="s">
        <v>258</v>
      </c>
      <c r="I131" s="10"/>
      <c r="J131" s="13"/>
      <c r="K131" s="13"/>
      <c r="L131" s="13"/>
      <c r="M131" s="13"/>
      <c r="N131" s="13"/>
      <c r="O131" s="82"/>
      <c r="P131" s="408"/>
    </row>
    <row r="132" spans="2:16" ht="16" thickBot="1" x14ac:dyDescent="0.25">
      <c r="B132" s="369"/>
      <c r="C132" s="10"/>
      <c r="D132" s="13"/>
      <c r="E132" s="10"/>
      <c r="F132" s="10"/>
      <c r="G132" s="10"/>
      <c r="H132" s="10"/>
      <c r="I132" s="10"/>
      <c r="J132" s="13"/>
      <c r="K132" s="13"/>
      <c r="L132" s="13"/>
      <c r="M132" s="13"/>
      <c r="N132" s="13"/>
      <c r="O132" s="82"/>
    </row>
    <row r="133" spans="2:16" x14ac:dyDescent="0.2">
      <c r="B133" s="369"/>
      <c r="C133" s="87" t="s">
        <v>201</v>
      </c>
      <c r="D133" s="88" t="s">
        <v>259</v>
      </c>
      <c r="E133" s="103" t="s">
        <v>203</v>
      </c>
      <c r="F133" s="103" t="s">
        <v>204</v>
      </c>
      <c r="G133" s="103" t="s">
        <v>205</v>
      </c>
      <c r="H133" s="103" t="s">
        <v>206</v>
      </c>
      <c r="I133" s="103" t="s">
        <v>207</v>
      </c>
      <c r="J133" s="103" t="s">
        <v>208</v>
      </c>
      <c r="K133" s="103" t="s">
        <v>209</v>
      </c>
      <c r="L133" s="103" t="s">
        <v>210</v>
      </c>
      <c r="M133" s="103" t="s">
        <v>211</v>
      </c>
      <c r="N133" s="103" t="s">
        <v>68</v>
      </c>
      <c r="O133" s="104" t="s">
        <v>212</v>
      </c>
      <c r="P133" s="408" t="s">
        <v>423</v>
      </c>
    </row>
    <row r="134" spans="2:16" ht="16" thickBot="1" x14ac:dyDescent="0.25">
      <c r="B134" s="369"/>
      <c r="C134" s="89" t="s">
        <v>173</v>
      </c>
      <c r="D134" s="90"/>
      <c r="E134" s="103" t="s">
        <v>260</v>
      </c>
      <c r="F134" s="103" t="s">
        <v>261</v>
      </c>
      <c r="G134" s="103" t="s">
        <v>262</v>
      </c>
      <c r="H134" s="103" t="s">
        <v>263</v>
      </c>
      <c r="I134" s="103" t="s">
        <v>264</v>
      </c>
      <c r="J134" s="103" t="s">
        <v>265</v>
      </c>
      <c r="K134" s="103" t="s">
        <v>266</v>
      </c>
      <c r="L134" s="103" t="s">
        <v>267</v>
      </c>
      <c r="M134" s="103" t="s">
        <v>268</v>
      </c>
      <c r="N134" s="103" t="s">
        <v>269</v>
      </c>
      <c r="O134" s="104" t="s">
        <v>270</v>
      </c>
      <c r="P134" s="408"/>
    </row>
    <row r="135" spans="2:16" ht="16" thickBot="1" x14ac:dyDescent="0.25">
      <c r="B135" s="369"/>
      <c r="C135" s="10"/>
      <c r="D135" s="13"/>
      <c r="E135" s="13"/>
      <c r="F135" s="13"/>
      <c r="G135" s="13"/>
      <c r="H135" s="13"/>
      <c r="I135" s="13"/>
      <c r="J135" s="13"/>
      <c r="K135" s="13"/>
      <c r="L135" s="13"/>
      <c r="M135" s="13"/>
      <c r="N135" s="13"/>
      <c r="O135" s="82"/>
    </row>
    <row r="136" spans="2:16" x14ac:dyDescent="0.2">
      <c r="B136" s="369"/>
      <c r="C136" s="366" t="s">
        <v>271</v>
      </c>
      <c r="D136" s="88" t="s">
        <v>272</v>
      </c>
      <c r="E136" s="13"/>
      <c r="F136" s="13"/>
      <c r="G136" s="13"/>
      <c r="H136" s="13"/>
      <c r="I136" s="13"/>
      <c r="J136" s="13"/>
      <c r="K136" s="13"/>
      <c r="L136" s="13"/>
      <c r="M136" s="13"/>
      <c r="N136" s="13"/>
      <c r="O136" s="82"/>
    </row>
    <row r="137" spans="2:16" ht="16" thickBot="1" x14ac:dyDescent="0.25">
      <c r="B137" s="369"/>
      <c r="C137" s="367"/>
      <c r="D137" s="90"/>
      <c r="E137" s="13"/>
      <c r="F137" s="13"/>
      <c r="G137" s="13"/>
      <c r="H137" s="13"/>
      <c r="I137" s="13"/>
      <c r="J137" s="13"/>
      <c r="K137" s="13"/>
      <c r="L137" s="13"/>
      <c r="M137" s="13"/>
      <c r="N137" s="13"/>
      <c r="O137" s="82"/>
    </row>
    <row r="138" spans="2:16" ht="16" thickBot="1" x14ac:dyDescent="0.25">
      <c r="B138" s="369"/>
      <c r="C138" s="10"/>
      <c r="D138" s="13"/>
      <c r="E138" s="13"/>
      <c r="F138" s="13"/>
      <c r="G138" s="13"/>
      <c r="H138" s="13"/>
      <c r="I138" s="13"/>
      <c r="J138" s="13"/>
      <c r="K138" s="13"/>
      <c r="L138" s="13"/>
      <c r="M138" s="13"/>
      <c r="N138" s="13"/>
      <c r="O138" s="82"/>
    </row>
    <row r="139" spans="2:16" x14ac:dyDescent="0.2">
      <c r="B139" s="369"/>
      <c r="C139" s="409" t="s">
        <v>273</v>
      </c>
      <c r="D139" s="78" t="s">
        <v>274</v>
      </c>
      <c r="E139" s="13"/>
      <c r="F139" s="13"/>
      <c r="G139" s="13"/>
      <c r="H139" s="13"/>
      <c r="I139" s="13"/>
      <c r="J139" s="13"/>
      <c r="K139" s="13"/>
      <c r="L139" s="13"/>
      <c r="M139" s="13"/>
      <c r="N139" s="13"/>
      <c r="O139" s="82"/>
      <c r="P139" s="411"/>
    </row>
    <row r="140" spans="2:16" ht="16" thickBot="1" x14ac:dyDescent="0.25">
      <c r="B140" s="370"/>
      <c r="C140" s="410"/>
      <c r="D140" s="81"/>
      <c r="E140" s="35"/>
      <c r="F140" s="35"/>
      <c r="G140" s="35"/>
      <c r="H140" s="35"/>
      <c r="I140" s="35"/>
      <c r="J140" s="35"/>
      <c r="K140" s="35"/>
      <c r="L140" s="35"/>
      <c r="M140" s="35"/>
      <c r="N140" s="35"/>
      <c r="O140" s="85"/>
      <c r="P140" s="411"/>
    </row>
    <row r="141" spans="2:16" x14ac:dyDescent="0.2">
      <c r="B141" s="105"/>
    </row>
  </sheetData>
  <mergeCells count="49">
    <mergeCell ref="B121:B128"/>
    <mergeCell ref="P121:P122"/>
    <mergeCell ref="C127:C128"/>
    <mergeCell ref="B130:B140"/>
    <mergeCell ref="P130:P131"/>
    <mergeCell ref="P133:P134"/>
    <mergeCell ref="C136:C137"/>
    <mergeCell ref="C139:C140"/>
    <mergeCell ref="P139:P140"/>
    <mergeCell ref="E32:J32"/>
    <mergeCell ref="P106:P108"/>
    <mergeCell ref="P115:P116"/>
    <mergeCell ref="P118:P119"/>
    <mergeCell ref="P103:P104"/>
    <mergeCell ref="P112:P113"/>
    <mergeCell ref="E93:F93"/>
    <mergeCell ref="B93:B96"/>
    <mergeCell ref="C95:C96"/>
    <mergeCell ref="B100:B119"/>
    <mergeCell ref="B81:B89"/>
    <mergeCell ref="D81:D83"/>
    <mergeCell ref="C81:C83"/>
    <mergeCell ref="D95:D96"/>
    <mergeCell ref="J26:J27"/>
    <mergeCell ref="C74:C76"/>
    <mergeCell ref="D74:D76"/>
    <mergeCell ref="B34:B76"/>
    <mergeCell ref="Q2:Q12"/>
    <mergeCell ref="Q14:Q21"/>
    <mergeCell ref="E68:F68"/>
    <mergeCell ref="C65:C66"/>
    <mergeCell ref="D65:D66"/>
    <mergeCell ref="H66:I66"/>
    <mergeCell ref="D70:D72"/>
    <mergeCell ref="C70:C72"/>
    <mergeCell ref="K59:K60"/>
    <mergeCell ref="E60:E61"/>
    <mergeCell ref="D59:D61"/>
    <mergeCell ref="C59:C61"/>
    <mergeCell ref="D50:D52"/>
    <mergeCell ref="D53:D56"/>
    <mergeCell ref="C47:C57"/>
    <mergeCell ref="D11:D12"/>
    <mergeCell ref="C2:C30"/>
    <mergeCell ref="D34:D35"/>
    <mergeCell ref="C34:C35"/>
    <mergeCell ref="C37:C45"/>
    <mergeCell ref="D37:D45"/>
    <mergeCell ref="D47:D49"/>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topLeftCell="A79" zoomScale="75" zoomScaleNormal="75" workbookViewId="0">
      <selection activeCell="I12" sqref="I12"/>
    </sheetView>
  </sheetViews>
  <sheetFormatPr baseColWidth="10" defaultColWidth="8.83203125" defaultRowHeight="15" x14ac:dyDescent="0.2"/>
  <cols>
    <col min="3" max="3" width="10.33203125" customWidth="1"/>
    <col min="4" max="4" width="20.33203125" style="1" bestFit="1" customWidth="1"/>
    <col min="5" max="5" width="11.33203125" bestFit="1" customWidth="1"/>
    <col min="6" max="6" width="16.83203125" bestFit="1" customWidth="1"/>
    <col min="7" max="7" width="19" bestFit="1" customWidth="1"/>
    <col min="8" max="8" width="14.6640625" bestFit="1" customWidth="1"/>
    <col min="9" max="9" width="18.83203125" bestFit="1" customWidth="1"/>
    <col min="10" max="10" width="24.83203125" bestFit="1" customWidth="1"/>
    <col min="11" max="11" width="14.5" bestFit="1" customWidth="1"/>
    <col min="12" max="12" width="21.6640625" bestFit="1" customWidth="1"/>
    <col min="13" max="13" width="14.1640625" bestFit="1" customWidth="1"/>
    <col min="14" max="14" width="17.6640625" bestFit="1" customWidth="1"/>
    <col min="15" max="15" width="12.83203125" bestFit="1" customWidth="1"/>
    <col min="16" max="16" width="17" bestFit="1" customWidth="1"/>
  </cols>
  <sheetData>
    <row r="1" spans="1:10" ht="16" thickBot="1" x14ac:dyDescent="0.25"/>
    <row r="2" spans="1:10" ht="15" customHeight="1" x14ac:dyDescent="0.2">
      <c r="C2" s="368" t="s">
        <v>109</v>
      </c>
      <c r="D2" s="87" t="s">
        <v>110</v>
      </c>
      <c r="E2" s="88" t="s">
        <v>111</v>
      </c>
      <c r="F2" s="58"/>
      <c r="G2" s="58"/>
      <c r="H2" s="58"/>
      <c r="I2" s="58"/>
      <c r="J2" s="79"/>
    </row>
    <row r="3" spans="1:10" ht="16" thickBot="1" x14ac:dyDescent="0.25">
      <c r="C3" s="369"/>
      <c r="D3" s="89"/>
      <c r="E3" s="90"/>
      <c r="F3" s="13"/>
      <c r="G3" s="13"/>
      <c r="H3" s="13"/>
      <c r="I3" s="13"/>
      <c r="J3" s="82"/>
    </row>
    <row r="4" spans="1:10" ht="16" thickBot="1" x14ac:dyDescent="0.25">
      <c r="C4" s="369"/>
      <c r="D4" s="10"/>
      <c r="E4" s="13"/>
      <c r="F4" s="13"/>
      <c r="G4" s="13"/>
      <c r="H4" s="13"/>
      <c r="I4" s="13"/>
      <c r="J4" s="82"/>
    </row>
    <row r="5" spans="1:10" x14ac:dyDescent="0.2">
      <c r="C5" s="369"/>
      <c r="D5" s="87" t="s">
        <v>112</v>
      </c>
      <c r="E5" s="88" t="s">
        <v>113</v>
      </c>
      <c r="F5" s="13"/>
      <c r="G5" s="13"/>
      <c r="H5" s="13"/>
      <c r="I5" s="13"/>
      <c r="J5" s="82"/>
    </row>
    <row r="6" spans="1:10" ht="16" thickBot="1" x14ac:dyDescent="0.25">
      <c r="C6" s="369"/>
      <c r="D6" s="89"/>
      <c r="E6" s="90"/>
      <c r="F6" s="13"/>
      <c r="G6" s="13"/>
      <c r="H6" s="13"/>
      <c r="I6" s="13"/>
      <c r="J6" s="82"/>
    </row>
    <row r="7" spans="1:10" ht="16" thickBot="1" x14ac:dyDescent="0.25">
      <c r="C7" s="369"/>
      <c r="D7" s="10"/>
      <c r="E7" s="13"/>
      <c r="F7" s="13"/>
      <c r="G7" s="13"/>
      <c r="H7" s="13"/>
      <c r="I7" s="13"/>
      <c r="J7" s="82"/>
    </row>
    <row r="8" spans="1:10" x14ac:dyDescent="0.2">
      <c r="C8" s="369"/>
      <c r="D8" s="87" t="s">
        <v>114</v>
      </c>
      <c r="E8" s="88" t="s">
        <v>115</v>
      </c>
      <c r="F8" s="13"/>
      <c r="G8" s="13"/>
      <c r="H8" s="13"/>
      <c r="I8" s="13"/>
      <c r="J8" s="82"/>
    </row>
    <row r="9" spans="1:10" ht="16" thickBot="1" x14ac:dyDescent="0.25">
      <c r="C9" s="369"/>
      <c r="D9" s="89"/>
      <c r="E9" s="90"/>
      <c r="F9" s="13"/>
      <c r="G9" s="13"/>
      <c r="H9" s="13"/>
      <c r="I9" s="13"/>
      <c r="J9" s="82"/>
    </row>
    <row r="10" spans="1:10" ht="16" thickBot="1" x14ac:dyDescent="0.25">
      <c r="C10" s="369"/>
      <c r="D10" s="10"/>
      <c r="E10" s="13"/>
      <c r="F10" s="13"/>
      <c r="G10" s="13"/>
      <c r="H10" s="13"/>
      <c r="I10" s="13"/>
      <c r="J10" s="82"/>
    </row>
    <row r="11" spans="1:10" x14ac:dyDescent="0.2">
      <c r="C11" s="369"/>
      <c r="D11" s="87" t="s">
        <v>116</v>
      </c>
      <c r="E11" s="88" t="s">
        <v>117</v>
      </c>
      <c r="F11" s="91" t="s">
        <v>118</v>
      </c>
      <c r="G11" s="92" t="s">
        <v>119</v>
      </c>
      <c r="H11" s="92" t="s">
        <v>120</v>
      </c>
      <c r="I11" s="92" t="s">
        <v>121</v>
      </c>
      <c r="J11" s="93" t="s">
        <v>122</v>
      </c>
    </row>
    <row r="12" spans="1:10" ht="16" thickBot="1" x14ac:dyDescent="0.25">
      <c r="C12" s="369"/>
      <c r="D12" s="89"/>
      <c r="E12" s="90"/>
      <c r="F12" s="94" t="s">
        <v>123</v>
      </c>
      <c r="G12" s="95" t="s">
        <v>124</v>
      </c>
      <c r="H12" s="95" t="s">
        <v>125</v>
      </c>
      <c r="I12" s="95" t="s">
        <v>126</v>
      </c>
      <c r="J12" s="96" t="s">
        <v>127</v>
      </c>
    </row>
    <row r="13" spans="1:10" ht="16" thickBot="1" x14ac:dyDescent="0.25">
      <c r="C13" s="369"/>
      <c r="D13" s="10"/>
      <c r="E13" s="13"/>
      <c r="F13" s="13"/>
      <c r="G13" s="13"/>
      <c r="H13" s="13"/>
      <c r="I13" s="13"/>
      <c r="J13" s="82"/>
    </row>
    <row r="14" spans="1:10" ht="16" thickBot="1" x14ac:dyDescent="0.25">
      <c r="C14" s="369"/>
      <c r="D14" s="87" t="s">
        <v>128</v>
      </c>
      <c r="E14" s="88" t="s">
        <v>129</v>
      </c>
      <c r="F14" s="97" t="s">
        <v>130</v>
      </c>
      <c r="G14" s="98" t="s">
        <v>131</v>
      </c>
      <c r="H14" s="13"/>
      <c r="I14" s="13"/>
      <c r="J14" s="82"/>
    </row>
    <row r="15" spans="1:10" ht="16" thickBot="1" x14ac:dyDescent="0.25">
      <c r="A15" s="83" t="s">
        <v>132</v>
      </c>
      <c r="C15" s="369"/>
      <c r="D15" s="89"/>
      <c r="E15" s="90"/>
      <c r="F15" s="99" t="s">
        <v>133</v>
      </c>
      <c r="G15" s="100" t="s">
        <v>134</v>
      </c>
      <c r="H15" s="13"/>
      <c r="I15" s="13"/>
      <c r="J15" s="82"/>
    </row>
    <row r="16" spans="1:10" ht="16" thickBot="1" x14ac:dyDescent="0.25">
      <c r="A16" s="84" t="s">
        <v>135</v>
      </c>
      <c r="C16" s="369"/>
      <c r="D16" s="10"/>
      <c r="E16" s="13"/>
      <c r="F16" s="13"/>
      <c r="G16" s="13"/>
      <c r="H16" s="13"/>
      <c r="I16" s="13"/>
      <c r="J16" s="82"/>
    </row>
    <row r="17" spans="3:10" x14ac:dyDescent="0.2">
      <c r="C17" s="369"/>
      <c r="D17" s="87" t="s">
        <v>136</v>
      </c>
      <c r="E17" s="88" t="s">
        <v>137</v>
      </c>
      <c r="F17" s="92" t="s">
        <v>138</v>
      </c>
      <c r="G17" s="93" t="s">
        <v>139</v>
      </c>
      <c r="H17" s="13"/>
      <c r="I17" s="13"/>
      <c r="J17" s="82"/>
    </row>
    <row r="18" spans="3:10" ht="16" thickBot="1" x14ac:dyDescent="0.25">
      <c r="C18" s="369"/>
      <c r="D18" s="89"/>
      <c r="E18" s="90"/>
      <c r="F18" s="95" t="s">
        <v>140</v>
      </c>
      <c r="G18" s="96" t="s">
        <v>141</v>
      </c>
      <c r="H18" s="13"/>
      <c r="I18" s="13"/>
      <c r="J18" s="82"/>
    </row>
    <row r="19" spans="3:10" ht="16" thickBot="1" x14ac:dyDescent="0.25">
      <c r="C19" s="369"/>
      <c r="D19" s="10"/>
      <c r="E19" s="13"/>
      <c r="F19" s="13"/>
      <c r="G19" s="13"/>
      <c r="H19" s="13"/>
      <c r="I19" s="13"/>
      <c r="J19" s="82"/>
    </row>
    <row r="20" spans="3:10" x14ac:dyDescent="0.2">
      <c r="C20" s="369"/>
      <c r="D20" s="87" t="s">
        <v>142</v>
      </c>
      <c r="E20" s="88" t="s">
        <v>143</v>
      </c>
      <c r="F20" s="13"/>
      <c r="G20" s="13"/>
      <c r="H20" s="13"/>
      <c r="I20" s="13"/>
      <c r="J20" s="82"/>
    </row>
    <row r="21" spans="3:10" ht="16" thickBot="1" x14ac:dyDescent="0.25">
      <c r="C21" s="369"/>
      <c r="D21" s="89"/>
      <c r="E21" s="90"/>
      <c r="F21" s="13"/>
      <c r="G21" s="13"/>
      <c r="H21" s="13"/>
      <c r="I21" s="13"/>
      <c r="J21" s="82"/>
    </row>
    <row r="22" spans="3:10" ht="16" thickBot="1" x14ac:dyDescent="0.25">
      <c r="C22" s="369"/>
      <c r="D22" s="10"/>
      <c r="E22" s="13"/>
      <c r="F22" s="13"/>
      <c r="G22" s="13"/>
      <c r="H22" s="13"/>
      <c r="I22" s="13"/>
      <c r="J22" s="82"/>
    </row>
    <row r="23" spans="3:10" ht="16" thickBot="1" x14ac:dyDescent="0.25">
      <c r="C23" s="369"/>
      <c r="D23" s="87" t="s">
        <v>144</v>
      </c>
      <c r="E23" s="88" t="s">
        <v>145</v>
      </c>
      <c r="F23" s="97" t="s">
        <v>3</v>
      </c>
      <c r="G23" s="97" t="s">
        <v>146</v>
      </c>
      <c r="H23" s="98" t="s">
        <v>147</v>
      </c>
      <c r="I23" s="13"/>
      <c r="J23" s="82"/>
    </row>
    <row r="24" spans="3:10" ht="16" thickBot="1" x14ac:dyDescent="0.25">
      <c r="C24" s="369"/>
      <c r="D24" s="89"/>
      <c r="E24" s="90"/>
      <c r="F24" s="99" t="s">
        <v>148</v>
      </c>
      <c r="G24" s="99" t="s">
        <v>149</v>
      </c>
      <c r="H24" s="100" t="s">
        <v>150</v>
      </c>
      <c r="I24" s="13"/>
      <c r="J24" s="82"/>
    </row>
    <row r="25" spans="3:10" ht="16" thickBot="1" x14ac:dyDescent="0.25">
      <c r="C25" s="369"/>
      <c r="D25" s="10"/>
      <c r="E25" s="13"/>
      <c r="F25" s="13"/>
      <c r="G25" s="13"/>
      <c r="H25" s="13"/>
      <c r="I25" s="13"/>
      <c r="J25" s="82"/>
    </row>
    <row r="26" spans="3:10" x14ac:dyDescent="0.2">
      <c r="C26" s="369"/>
      <c r="D26" s="87" t="s">
        <v>151</v>
      </c>
      <c r="E26" s="88" t="s">
        <v>152</v>
      </c>
      <c r="F26" s="92" t="s">
        <v>153</v>
      </c>
      <c r="G26" s="92" t="s">
        <v>154</v>
      </c>
      <c r="H26" s="92" t="s">
        <v>155</v>
      </c>
      <c r="I26" s="93" t="s">
        <v>156</v>
      </c>
      <c r="J26" s="82"/>
    </row>
    <row r="27" spans="3:10" ht="16" thickBot="1" x14ac:dyDescent="0.25">
      <c r="C27" s="369"/>
      <c r="D27" s="89"/>
      <c r="E27" s="90"/>
      <c r="F27" s="95" t="s">
        <v>157</v>
      </c>
      <c r="G27" s="95" t="s">
        <v>158</v>
      </c>
      <c r="H27" s="95" t="s">
        <v>159</v>
      </c>
      <c r="I27" s="96" t="s">
        <v>160</v>
      </c>
      <c r="J27" s="82"/>
    </row>
    <row r="28" spans="3:10" ht="16" thickBot="1" x14ac:dyDescent="0.25">
      <c r="C28" s="369"/>
      <c r="D28" s="10"/>
      <c r="E28" s="13"/>
      <c r="F28" s="13"/>
      <c r="G28" s="13"/>
      <c r="H28" s="13"/>
      <c r="I28" s="13"/>
      <c r="J28" s="82"/>
    </row>
    <row r="29" spans="3:10" x14ac:dyDescent="0.2">
      <c r="C29" s="369"/>
      <c r="D29" s="87" t="s">
        <v>161</v>
      </c>
      <c r="E29" s="88" t="s">
        <v>162</v>
      </c>
      <c r="F29" s="92" t="s">
        <v>163</v>
      </c>
      <c r="G29" s="92" t="s">
        <v>164</v>
      </c>
      <c r="H29" s="93" t="s">
        <v>165</v>
      </c>
      <c r="I29" s="13"/>
      <c r="J29" s="82"/>
    </row>
    <row r="30" spans="3:10" ht="16" thickBot="1" x14ac:dyDescent="0.25">
      <c r="C30" s="370"/>
      <c r="D30" s="89"/>
      <c r="E30" s="90"/>
      <c r="F30" s="95" t="s">
        <v>166</v>
      </c>
      <c r="G30" s="95" t="s">
        <v>167</v>
      </c>
      <c r="H30" s="96" t="s">
        <v>168</v>
      </c>
      <c r="I30" s="35"/>
      <c r="J30" s="85"/>
    </row>
    <row r="32" spans="3:10" ht="16" thickBot="1" x14ac:dyDescent="0.25"/>
    <row r="33" spans="3:7" ht="15" customHeight="1" x14ac:dyDescent="0.2">
      <c r="C33" s="368" t="s">
        <v>169</v>
      </c>
      <c r="D33" s="101" t="s">
        <v>170</v>
      </c>
      <c r="E33" s="88" t="s">
        <v>171</v>
      </c>
      <c r="F33" s="10"/>
      <c r="G33" s="10"/>
    </row>
    <row r="34" spans="3:7" ht="16" thickBot="1" x14ac:dyDescent="0.25">
      <c r="C34" s="369"/>
      <c r="D34" s="102"/>
      <c r="E34" s="90"/>
      <c r="F34" s="10"/>
      <c r="G34" s="10"/>
    </row>
    <row r="35" spans="3:7" ht="16" thickBot="1" x14ac:dyDescent="0.25">
      <c r="C35" s="369"/>
      <c r="F35" s="13"/>
      <c r="G35" s="13"/>
    </row>
    <row r="36" spans="3:7" x14ac:dyDescent="0.2">
      <c r="C36" s="369"/>
      <c r="D36" s="101" t="s">
        <v>172</v>
      </c>
      <c r="E36" s="88" t="s">
        <v>173</v>
      </c>
      <c r="F36" s="13"/>
      <c r="G36" s="13"/>
    </row>
    <row r="37" spans="3:7" ht="16" thickBot="1" x14ac:dyDescent="0.25">
      <c r="C37" s="369"/>
      <c r="D37" s="102" t="s">
        <v>173</v>
      </c>
      <c r="E37" s="90"/>
    </row>
    <row r="38" spans="3:7" ht="16" thickBot="1" x14ac:dyDescent="0.25">
      <c r="C38" s="369"/>
    </row>
    <row r="39" spans="3:7" x14ac:dyDescent="0.2">
      <c r="C39" s="369"/>
      <c r="D39" s="87" t="s">
        <v>174</v>
      </c>
      <c r="E39" s="88" t="s">
        <v>175</v>
      </c>
    </row>
    <row r="40" spans="3:7" ht="16" thickBot="1" x14ac:dyDescent="0.25">
      <c r="C40" s="369"/>
      <c r="D40" s="89"/>
      <c r="E40" s="90"/>
    </row>
    <row r="41" spans="3:7" ht="16" thickBot="1" x14ac:dyDescent="0.25">
      <c r="C41" s="369"/>
    </row>
    <row r="42" spans="3:7" x14ac:dyDescent="0.2">
      <c r="C42" s="369"/>
      <c r="D42" s="87" t="s">
        <v>176</v>
      </c>
      <c r="E42" s="88" t="s">
        <v>177</v>
      </c>
    </row>
    <row r="43" spans="3:7" ht="16" thickBot="1" x14ac:dyDescent="0.25">
      <c r="C43" s="370"/>
      <c r="D43" s="89"/>
      <c r="E43" s="90"/>
    </row>
    <row r="45" spans="3:7" ht="16" thickBot="1" x14ac:dyDescent="0.25"/>
    <row r="46" spans="3:7" ht="15" customHeight="1" x14ac:dyDescent="0.2">
      <c r="C46" s="368" t="s">
        <v>178</v>
      </c>
      <c r="D46" s="101" t="s">
        <v>179</v>
      </c>
      <c r="E46" s="88" t="s">
        <v>180</v>
      </c>
      <c r="F46" s="58"/>
      <c r="G46" s="79"/>
    </row>
    <row r="47" spans="3:7" ht="16" thickBot="1" x14ac:dyDescent="0.25">
      <c r="C47" s="369"/>
      <c r="D47" s="102"/>
      <c r="E47" s="90"/>
      <c r="F47" s="13"/>
      <c r="G47" s="82"/>
    </row>
    <row r="48" spans="3:7" ht="16" thickBot="1" x14ac:dyDescent="0.25">
      <c r="C48" s="369"/>
      <c r="D48" s="10"/>
      <c r="E48" s="13"/>
      <c r="F48" s="13"/>
      <c r="G48" s="82"/>
    </row>
    <row r="49" spans="3:7" x14ac:dyDescent="0.2">
      <c r="C49" s="369"/>
      <c r="D49" s="87" t="s">
        <v>181</v>
      </c>
      <c r="E49" s="88" t="s">
        <v>182</v>
      </c>
      <c r="F49" s="92" t="s">
        <v>183</v>
      </c>
      <c r="G49" s="93" t="s">
        <v>184</v>
      </c>
    </row>
    <row r="50" spans="3:7" ht="16" thickBot="1" x14ac:dyDescent="0.25">
      <c r="C50" s="369"/>
      <c r="D50" s="89" t="s">
        <v>173</v>
      </c>
      <c r="E50" s="90"/>
      <c r="F50" s="95" t="s">
        <v>185</v>
      </c>
      <c r="G50" s="96" t="s">
        <v>186</v>
      </c>
    </row>
    <row r="51" spans="3:7" ht="16" thickBot="1" x14ac:dyDescent="0.25">
      <c r="C51" s="369"/>
      <c r="D51" s="10"/>
      <c r="E51" s="13"/>
      <c r="F51" s="13"/>
      <c r="G51" s="82"/>
    </row>
    <row r="52" spans="3:7" x14ac:dyDescent="0.2">
      <c r="C52" s="369"/>
      <c r="D52" s="87" t="s">
        <v>187</v>
      </c>
      <c r="E52" s="88" t="s">
        <v>188</v>
      </c>
      <c r="F52" s="13"/>
      <c r="G52" s="82"/>
    </row>
    <row r="53" spans="3:7" ht="16" thickBot="1" x14ac:dyDescent="0.25">
      <c r="C53" s="370"/>
      <c r="D53" s="89"/>
      <c r="E53" s="90"/>
      <c r="F53" s="35"/>
      <c r="G53" s="85"/>
    </row>
    <row r="54" spans="3:7" x14ac:dyDescent="0.2">
      <c r="C54" s="86"/>
      <c r="D54" s="86"/>
      <c r="E54" s="86"/>
      <c r="F54" s="86"/>
      <c r="G54" s="86"/>
    </row>
    <row r="55" spans="3:7" ht="16" thickBot="1" x14ac:dyDescent="0.25">
      <c r="C55" s="86"/>
      <c r="D55" s="86"/>
      <c r="E55" s="86"/>
      <c r="F55" s="86"/>
      <c r="G55" s="86"/>
    </row>
    <row r="56" spans="3:7" ht="15" customHeight="1" x14ac:dyDescent="0.2">
      <c r="C56" s="368" t="s">
        <v>189</v>
      </c>
      <c r="D56" s="77"/>
      <c r="E56" s="78"/>
      <c r="F56" s="86"/>
      <c r="G56" s="86"/>
    </row>
    <row r="57" spans="3:7" ht="16" thickBot="1" x14ac:dyDescent="0.25">
      <c r="C57" s="369"/>
      <c r="D57" s="80"/>
      <c r="E57" s="81"/>
      <c r="F57" s="86"/>
      <c r="G57" s="86"/>
    </row>
    <row r="58" spans="3:7" ht="16" thickBot="1" x14ac:dyDescent="0.25">
      <c r="C58" s="369"/>
      <c r="F58" s="86"/>
      <c r="G58" s="86"/>
    </row>
    <row r="59" spans="3:7" x14ac:dyDescent="0.2">
      <c r="C59" s="369"/>
      <c r="D59" s="77"/>
      <c r="E59" s="78"/>
      <c r="F59" s="86"/>
      <c r="G59" s="86"/>
    </row>
    <row r="60" spans="3:7" ht="16" thickBot="1" x14ac:dyDescent="0.25">
      <c r="C60" s="369"/>
      <c r="D60" s="80"/>
      <c r="E60" s="81"/>
      <c r="F60" s="86"/>
      <c r="G60" s="86"/>
    </row>
    <row r="61" spans="3:7" ht="16" thickBot="1" x14ac:dyDescent="0.25">
      <c r="C61" s="369"/>
      <c r="F61" s="86"/>
      <c r="G61" s="86"/>
    </row>
    <row r="62" spans="3:7" x14ac:dyDescent="0.2">
      <c r="C62" s="369"/>
      <c r="D62" s="77"/>
      <c r="E62" s="78"/>
      <c r="F62" s="86"/>
      <c r="G62" s="86"/>
    </row>
    <row r="63" spans="3:7" ht="16" thickBot="1" x14ac:dyDescent="0.25">
      <c r="C63" s="369"/>
      <c r="D63" s="80"/>
      <c r="E63" s="81"/>
      <c r="F63" s="86"/>
      <c r="G63" s="86"/>
    </row>
    <row r="64" spans="3:7" ht="16" thickBot="1" x14ac:dyDescent="0.25">
      <c r="C64" s="369"/>
      <c r="F64" s="86"/>
      <c r="G64" s="86"/>
    </row>
    <row r="65" spans="3:16" x14ac:dyDescent="0.2">
      <c r="C65" s="369"/>
      <c r="D65" s="77"/>
      <c r="E65" s="78"/>
      <c r="F65" s="86"/>
      <c r="G65" s="86"/>
    </row>
    <row r="66" spans="3:16" ht="16" thickBot="1" x14ac:dyDescent="0.25">
      <c r="C66" s="369"/>
      <c r="D66" s="80"/>
      <c r="E66" s="81"/>
      <c r="F66" s="86"/>
      <c r="G66" s="86"/>
    </row>
    <row r="67" spans="3:16" ht="16" thickBot="1" x14ac:dyDescent="0.25">
      <c r="C67" s="369"/>
      <c r="F67" s="86"/>
      <c r="G67" s="86"/>
    </row>
    <row r="68" spans="3:16" x14ac:dyDescent="0.2">
      <c r="C68" s="369"/>
      <c r="D68" s="77"/>
      <c r="E68" s="78"/>
      <c r="F68" s="86"/>
      <c r="G68" s="86"/>
    </row>
    <row r="69" spans="3:16" ht="16" thickBot="1" x14ac:dyDescent="0.25">
      <c r="C69" s="370"/>
      <c r="D69" s="80"/>
      <c r="E69" s="81"/>
      <c r="F69" s="86"/>
      <c r="G69" s="86"/>
    </row>
    <row r="70" spans="3:16" x14ac:dyDescent="0.2">
      <c r="C70" s="86"/>
      <c r="D70" s="86"/>
      <c r="E70" s="86"/>
      <c r="F70" s="86"/>
      <c r="G70" s="86"/>
    </row>
    <row r="71" spans="3:16" ht="16" thickBot="1" x14ac:dyDescent="0.25"/>
    <row r="72" spans="3:16" ht="15" customHeight="1" x14ac:dyDescent="0.2">
      <c r="C72" s="368" t="s">
        <v>190</v>
      </c>
      <c r="D72" s="87" t="s">
        <v>3</v>
      </c>
      <c r="E72" s="88" t="s">
        <v>191</v>
      </c>
      <c r="F72" s="58"/>
      <c r="G72" s="58"/>
      <c r="H72" s="58"/>
      <c r="I72" s="58"/>
      <c r="J72" s="58"/>
      <c r="K72" s="58"/>
      <c r="L72" s="58"/>
      <c r="M72" s="58"/>
      <c r="N72" s="58"/>
      <c r="O72" s="58"/>
      <c r="P72" s="79"/>
    </row>
    <row r="73" spans="3:16" ht="16" thickBot="1" x14ac:dyDescent="0.25">
      <c r="C73" s="369"/>
      <c r="D73" s="89"/>
      <c r="E73" s="90"/>
      <c r="F73" s="13"/>
      <c r="G73" s="13"/>
      <c r="H73" s="13"/>
      <c r="I73" s="13"/>
      <c r="J73" s="13"/>
      <c r="K73" s="13"/>
      <c r="L73" s="13"/>
      <c r="M73" s="13"/>
      <c r="N73" s="13"/>
      <c r="O73" s="13"/>
      <c r="P73" s="82"/>
    </row>
    <row r="74" spans="3:16" ht="16" thickBot="1" x14ac:dyDescent="0.25">
      <c r="C74" s="369"/>
      <c r="D74" s="10"/>
      <c r="E74" s="13"/>
      <c r="F74" s="13"/>
      <c r="G74" s="13"/>
      <c r="H74" s="13"/>
      <c r="I74" s="13"/>
      <c r="J74" s="13"/>
      <c r="K74" s="13"/>
      <c r="L74" s="13"/>
      <c r="M74" s="13"/>
      <c r="N74" s="13"/>
      <c r="O74" s="13"/>
      <c r="P74" s="82"/>
    </row>
    <row r="75" spans="3:16" x14ac:dyDescent="0.2">
      <c r="C75" s="369"/>
      <c r="D75" s="87" t="s">
        <v>192</v>
      </c>
      <c r="E75" s="88" t="s">
        <v>193</v>
      </c>
      <c r="F75" s="103" t="s">
        <v>194</v>
      </c>
      <c r="G75" s="103" t="s">
        <v>66</v>
      </c>
      <c r="H75" s="103" t="s">
        <v>195</v>
      </c>
      <c r="I75" s="103" t="s">
        <v>196</v>
      </c>
      <c r="J75" s="13"/>
      <c r="K75" s="13"/>
      <c r="L75" s="13"/>
      <c r="M75" s="13"/>
      <c r="N75" s="13"/>
      <c r="O75" s="13"/>
      <c r="P75" s="82"/>
    </row>
    <row r="76" spans="3:16" ht="16" thickBot="1" x14ac:dyDescent="0.25">
      <c r="C76" s="369"/>
      <c r="D76" s="89"/>
      <c r="E76" s="90"/>
      <c r="F76" s="103" t="s">
        <v>197</v>
      </c>
      <c r="G76" s="103" t="s">
        <v>198</v>
      </c>
      <c r="H76" s="103" t="s">
        <v>199</v>
      </c>
      <c r="I76" s="103" t="s">
        <v>200</v>
      </c>
      <c r="J76" s="13"/>
      <c r="K76" s="13"/>
      <c r="L76" s="13"/>
      <c r="M76" s="13"/>
      <c r="N76" s="13"/>
      <c r="O76" s="13"/>
      <c r="P76" s="82"/>
    </row>
    <row r="77" spans="3:16" ht="16" thickBot="1" x14ac:dyDescent="0.25">
      <c r="C77" s="369"/>
      <c r="D77" s="10"/>
      <c r="E77" s="13"/>
      <c r="F77" s="13"/>
      <c r="G77" s="13"/>
      <c r="H77" s="13"/>
      <c r="I77" s="13"/>
      <c r="J77" s="13"/>
      <c r="K77" s="13"/>
      <c r="L77" s="13"/>
      <c r="M77" s="13"/>
      <c r="N77" s="13"/>
      <c r="O77" s="13"/>
      <c r="P77" s="82"/>
    </row>
    <row r="78" spans="3:16" x14ac:dyDescent="0.2">
      <c r="C78" s="369"/>
      <c r="D78" s="87" t="s">
        <v>201</v>
      </c>
      <c r="E78" s="88" t="s">
        <v>202</v>
      </c>
      <c r="F78" s="103" t="s">
        <v>203</v>
      </c>
      <c r="G78" s="103" t="s">
        <v>204</v>
      </c>
      <c r="H78" s="103" t="s">
        <v>205</v>
      </c>
      <c r="I78" s="103" t="s">
        <v>206</v>
      </c>
      <c r="J78" s="103" t="s">
        <v>207</v>
      </c>
      <c r="K78" s="103" t="s">
        <v>208</v>
      </c>
      <c r="L78" s="103" t="s">
        <v>209</v>
      </c>
      <c r="M78" s="103" t="s">
        <v>210</v>
      </c>
      <c r="N78" s="103" t="s">
        <v>211</v>
      </c>
      <c r="O78" s="103" t="s">
        <v>68</v>
      </c>
      <c r="P78" s="104" t="s">
        <v>212</v>
      </c>
    </row>
    <row r="79" spans="3:16" ht="16" thickBot="1" x14ac:dyDescent="0.25">
      <c r="C79" s="369"/>
      <c r="D79" s="89"/>
      <c r="E79" s="90"/>
      <c r="F79" s="103" t="s">
        <v>213</v>
      </c>
      <c r="G79" s="103" t="s">
        <v>214</v>
      </c>
      <c r="H79" s="103" t="s">
        <v>215</v>
      </c>
      <c r="I79" s="103" t="s">
        <v>216</v>
      </c>
      <c r="J79" s="103" t="s">
        <v>217</v>
      </c>
      <c r="K79" s="103" t="s">
        <v>218</v>
      </c>
      <c r="L79" s="103" t="s">
        <v>219</v>
      </c>
      <c r="M79" s="103" t="s">
        <v>220</v>
      </c>
      <c r="N79" s="103" t="s">
        <v>221</v>
      </c>
      <c r="O79" s="103" t="s">
        <v>222</v>
      </c>
      <c r="P79" s="104" t="s">
        <v>223</v>
      </c>
    </row>
    <row r="80" spans="3:16" ht="16" thickBot="1" x14ac:dyDescent="0.25">
      <c r="C80" s="369"/>
      <c r="D80" s="10"/>
      <c r="E80" s="13"/>
      <c r="F80" s="13"/>
      <c r="G80" s="13"/>
      <c r="H80" s="13"/>
      <c r="I80" s="13"/>
      <c r="J80" s="13"/>
      <c r="K80" s="13"/>
      <c r="L80" s="13"/>
      <c r="M80" s="13"/>
      <c r="N80" s="13"/>
      <c r="O80" s="13"/>
      <c r="P80" s="82"/>
    </row>
    <row r="81" spans="3:16" x14ac:dyDescent="0.2">
      <c r="C81" s="369"/>
      <c r="D81" s="87" t="s">
        <v>0</v>
      </c>
      <c r="E81" s="88" t="s">
        <v>224</v>
      </c>
      <c r="F81" s="13"/>
      <c r="G81" s="13"/>
      <c r="H81" s="13"/>
      <c r="I81" s="13"/>
      <c r="J81" s="13"/>
      <c r="K81" s="13"/>
      <c r="L81" s="13"/>
      <c r="M81" s="13"/>
      <c r="N81" s="13"/>
      <c r="O81" s="13"/>
      <c r="P81" s="82"/>
    </row>
    <row r="82" spans="3:16" ht="16" thickBot="1" x14ac:dyDescent="0.25">
      <c r="C82" s="369"/>
      <c r="D82" s="89"/>
      <c r="E82" s="90"/>
      <c r="F82" s="13"/>
      <c r="G82" s="13"/>
      <c r="H82" s="13"/>
      <c r="I82" s="13"/>
      <c r="J82" s="13"/>
      <c r="K82" s="13"/>
      <c r="L82" s="13"/>
      <c r="M82" s="13"/>
      <c r="N82" s="13"/>
      <c r="O82" s="13"/>
      <c r="P82" s="82"/>
    </row>
    <row r="83" spans="3:16" ht="16" thickBot="1" x14ac:dyDescent="0.25">
      <c r="C83" s="369"/>
      <c r="D83" s="10"/>
      <c r="E83" s="13"/>
      <c r="F83" s="13"/>
      <c r="G83" s="13"/>
      <c r="H83" s="13"/>
      <c r="I83" s="13"/>
      <c r="J83" s="13"/>
      <c r="K83" s="13"/>
      <c r="L83" s="13"/>
      <c r="M83" s="13"/>
      <c r="N83" s="13"/>
      <c r="O83" s="13"/>
      <c r="P83" s="82"/>
    </row>
    <row r="84" spans="3:16" x14ac:dyDescent="0.2">
      <c r="C84" s="369"/>
      <c r="D84" s="87" t="s">
        <v>225</v>
      </c>
      <c r="E84" s="88" t="s">
        <v>226</v>
      </c>
      <c r="F84" s="13"/>
      <c r="G84" s="13"/>
      <c r="H84" s="13"/>
      <c r="I84" s="13"/>
      <c r="J84" s="13"/>
      <c r="K84" s="13"/>
      <c r="L84" s="13"/>
      <c r="M84" s="13"/>
      <c r="N84" s="13"/>
      <c r="O84" s="13"/>
      <c r="P84" s="82"/>
    </row>
    <row r="85" spans="3:16" ht="16" thickBot="1" x14ac:dyDescent="0.25">
      <c r="C85" s="369"/>
      <c r="D85" s="89"/>
      <c r="E85" s="90"/>
      <c r="F85" s="13"/>
      <c r="G85" s="13"/>
      <c r="H85" s="13"/>
      <c r="I85" s="13"/>
      <c r="J85" s="13"/>
      <c r="K85" s="13"/>
      <c r="L85" s="13"/>
      <c r="M85" s="13"/>
      <c r="N85" s="13"/>
      <c r="O85" s="13"/>
      <c r="P85" s="82"/>
    </row>
    <row r="86" spans="3:16" ht="16" thickBot="1" x14ac:dyDescent="0.25">
      <c r="C86" s="369"/>
      <c r="D86" s="10"/>
      <c r="E86" s="13"/>
      <c r="F86" s="13"/>
      <c r="G86" s="13"/>
      <c r="H86" s="13"/>
      <c r="I86" s="13"/>
      <c r="J86" s="13"/>
      <c r="K86" s="13"/>
      <c r="L86" s="13"/>
      <c r="M86" s="13"/>
      <c r="N86" s="13"/>
      <c r="O86" s="13"/>
      <c r="P86" s="82"/>
    </row>
    <row r="87" spans="3:16" x14ac:dyDescent="0.2">
      <c r="C87" s="369"/>
      <c r="D87" s="87" t="s">
        <v>227</v>
      </c>
      <c r="E87" s="88" t="s">
        <v>228</v>
      </c>
      <c r="F87" s="103" t="s">
        <v>194</v>
      </c>
      <c r="G87" s="103" t="s">
        <v>229</v>
      </c>
      <c r="H87" s="103" t="s">
        <v>230</v>
      </c>
      <c r="I87" s="103" t="s">
        <v>231</v>
      </c>
      <c r="J87" s="13"/>
      <c r="K87" s="13"/>
      <c r="L87" s="13"/>
      <c r="M87" s="13"/>
      <c r="N87" s="13"/>
      <c r="O87" s="13"/>
      <c r="P87" s="82"/>
    </row>
    <row r="88" spans="3:16" ht="16" thickBot="1" x14ac:dyDescent="0.25">
      <c r="C88" s="369"/>
      <c r="D88" s="89"/>
      <c r="E88" s="90"/>
      <c r="F88" s="103" t="s">
        <v>232</v>
      </c>
      <c r="G88" s="103" t="s">
        <v>233</v>
      </c>
      <c r="H88" s="103" t="s">
        <v>234</v>
      </c>
      <c r="I88" s="103" t="s">
        <v>235</v>
      </c>
      <c r="J88" s="13"/>
      <c r="K88" s="13"/>
      <c r="L88" s="13"/>
      <c r="M88" s="13"/>
      <c r="N88" s="13"/>
      <c r="O88" s="13"/>
      <c r="P88" s="82"/>
    </row>
    <row r="89" spans="3:16" ht="16" thickBot="1" x14ac:dyDescent="0.25">
      <c r="C89" s="369"/>
      <c r="D89" s="10"/>
      <c r="E89" s="13"/>
      <c r="F89" s="13"/>
      <c r="G89" s="13"/>
      <c r="H89" s="13"/>
      <c r="I89" s="13"/>
      <c r="J89" s="13"/>
      <c r="K89" s="13"/>
      <c r="L89" s="13"/>
      <c r="M89" s="13"/>
      <c r="N89" s="13"/>
      <c r="O89" s="13"/>
      <c r="P89" s="82"/>
    </row>
    <row r="90" spans="3:16" x14ac:dyDescent="0.2">
      <c r="C90" s="369"/>
      <c r="D90" s="87" t="s">
        <v>419</v>
      </c>
      <c r="E90" s="88" t="s">
        <v>420</v>
      </c>
      <c r="F90" s="13"/>
      <c r="G90" s="13"/>
      <c r="H90" s="13"/>
      <c r="I90" s="13"/>
      <c r="J90" s="13"/>
      <c r="K90" s="13"/>
      <c r="L90" s="13"/>
      <c r="M90" s="13"/>
      <c r="N90" s="13"/>
      <c r="O90" s="13"/>
      <c r="P90" s="82"/>
    </row>
    <row r="91" spans="3:16" ht="16" thickBot="1" x14ac:dyDescent="0.25">
      <c r="C91" s="370"/>
      <c r="D91" s="89"/>
      <c r="E91" s="90"/>
      <c r="F91" s="35"/>
      <c r="G91" s="35"/>
      <c r="H91" s="35"/>
      <c r="I91" s="35"/>
      <c r="J91" s="35"/>
      <c r="K91" s="35"/>
      <c r="L91" s="35"/>
      <c r="M91" s="35"/>
      <c r="N91" s="35"/>
      <c r="O91" s="35"/>
      <c r="P91" s="85"/>
    </row>
    <row r="93" spans="3:16" ht="16" thickBot="1" x14ac:dyDescent="0.25"/>
    <row r="94" spans="3:16" ht="15" customHeight="1" x14ac:dyDescent="0.2">
      <c r="C94" s="368" t="s">
        <v>236</v>
      </c>
      <c r="D94" s="87" t="s">
        <v>201</v>
      </c>
      <c r="E94" s="88" t="s">
        <v>237</v>
      </c>
      <c r="F94" s="92" t="s">
        <v>203</v>
      </c>
      <c r="G94" s="92" t="s">
        <v>204</v>
      </c>
      <c r="H94" s="92" t="s">
        <v>205</v>
      </c>
      <c r="I94" s="92" t="s">
        <v>206</v>
      </c>
      <c r="J94" s="92" t="s">
        <v>207</v>
      </c>
      <c r="K94" s="92" t="s">
        <v>208</v>
      </c>
      <c r="L94" s="92" t="s">
        <v>209</v>
      </c>
      <c r="M94" s="92" t="s">
        <v>210</v>
      </c>
      <c r="N94" s="92" t="s">
        <v>211</v>
      </c>
      <c r="O94" s="92" t="s">
        <v>68</v>
      </c>
      <c r="P94" s="93" t="s">
        <v>212</v>
      </c>
    </row>
    <row r="95" spans="3:16" ht="16" thickBot="1" x14ac:dyDescent="0.25">
      <c r="C95" s="369"/>
      <c r="D95" s="89"/>
      <c r="E95" s="90"/>
      <c r="F95" s="103" t="s">
        <v>238</v>
      </c>
      <c r="G95" s="103" t="s">
        <v>239</v>
      </c>
      <c r="H95" s="103" t="s">
        <v>240</v>
      </c>
      <c r="I95" s="103" t="s">
        <v>241</v>
      </c>
      <c r="J95" s="103" t="s">
        <v>242</v>
      </c>
      <c r="K95" s="103" t="s">
        <v>243</v>
      </c>
      <c r="L95" s="103" t="s">
        <v>244</v>
      </c>
      <c r="M95" s="103" t="s">
        <v>245</v>
      </c>
      <c r="N95" s="103" t="s">
        <v>246</v>
      </c>
      <c r="O95" s="103" t="s">
        <v>247</v>
      </c>
      <c r="P95" s="104" t="s">
        <v>248</v>
      </c>
    </row>
    <row r="96" spans="3:16" ht="16" thickBot="1" x14ac:dyDescent="0.25">
      <c r="C96" s="369"/>
      <c r="D96" s="10"/>
      <c r="E96" s="13"/>
      <c r="F96" s="13"/>
      <c r="G96" s="13"/>
      <c r="H96" s="13"/>
      <c r="I96" s="13"/>
      <c r="J96" s="13"/>
      <c r="K96" s="13"/>
      <c r="L96" s="13"/>
      <c r="M96" s="13"/>
      <c r="N96" s="13"/>
      <c r="O96" s="13"/>
      <c r="P96" s="82"/>
    </row>
    <row r="97" spans="3:16" x14ac:dyDescent="0.2">
      <c r="C97" s="369"/>
      <c r="D97" s="87" t="s">
        <v>249</v>
      </c>
      <c r="E97" s="88" t="s">
        <v>250</v>
      </c>
      <c r="F97" s="13"/>
      <c r="G97" s="13"/>
      <c r="H97" s="13"/>
      <c r="I97" s="13"/>
      <c r="J97" s="13"/>
      <c r="K97" s="13"/>
      <c r="L97" s="13"/>
      <c r="M97" s="13"/>
      <c r="N97" s="13"/>
      <c r="O97" s="13"/>
      <c r="P97" s="82"/>
    </row>
    <row r="98" spans="3:16" ht="16" thickBot="1" x14ac:dyDescent="0.25">
      <c r="C98" s="369"/>
      <c r="D98" s="89" t="s">
        <v>173</v>
      </c>
      <c r="E98" s="90"/>
      <c r="F98" s="13"/>
      <c r="G98" s="13"/>
      <c r="H98" s="13"/>
      <c r="I98" s="13"/>
      <c r="J98" s="13"/>
      <c r="K98" s="13"/>
      <c r="L98" s="13"/>
      <c r="M98" s="13"/>
      <c r="N98" s="13"/>
      <c r="O98" s="13"/>
      <c r="P98" s="82"/>
    </row>
    <row r="99" spans="3:16" ht="16" thickBot="1" x14ac:dyDescent="0.25">
      <c r="C99" s="369"/>
      <c r="D99" s="10"/>
      <c r="E99" s="13"/>
      <c r="F99" s="13"/>
      <c r="G99" s="13"/>
      <c r="H99" s="13"/>
      <c r="I99" s="13"/>
      <c r="J99" s="13"/>
      <c r="K99" s="13"/>
      <c r="L99" s="13"/>
      <c r="M99" s="13"/>
      <c r="N99" s="13"/>
      <c r="O99" s="13"/>
      <c r="P99" s="82"/>
    </row>
    <row r="100" spans="3:16" x14ac:dyDescent="0.2">
      <c r="C100" s="369"/>
      <c r="D100" s="87" t="s">
        <v>251</v>
      </c>
      <c r="E100" s="88" t="s">
        <v>252</v>
      </c>
      <c r="F100" s="13"/>
      <c r="G100" s="13"/>
      <c r="H100" s="13"/>
      <c r="I100" s="13"/>
      <c r="J100" s="13"/>
      <c r="K100" s="13"/>
      <c r="L100" s="13"/>
      <c r="M100" s="13"/>
      <c r="N100" s="13"/>
      <c r="O100" s="13"/>
      <c r="P100" s="82"/>
    </row>
    <row r="101" spans="3:16" ht="16" thickBot="1" x14ac:dyDescent="0.25">
      <c r="C101" s="370"/>
      <c r="D101" s="89"/>
      <c r="E101" s="90"/>
      <c r="F101" s="35"/>
      <c r="G101" s="35"/>
      <c r="H101" s="35"/>
      <c r="I101" s="35"/>
      <c r="J101" s="35"/>
      <c r="K101" s="35"/>
      <c r="L101" s="35"/>
      <c r="M101" s="35"/>
      <c r="N101" s="35"/>
      <c r="O101" s="35"/>
      <c r="P101" s="85"/>
    </row>
    <row r="103" spans="3:16" ht="16" thickBot="1" x14ac:dyDescent="0.25"/>
    <row r="104" spans="3:16" ht="15" customHeight="1" x14ac:dyDescent="0.2">
      <c r="C104" s="368" t="s">
        <v>253</v>
      </c>
      <c r="D104" s="101" t="s">
        <v>192</v>
      </c>
      <c r="E104" s="88" t="s">
        <v>254</v>
      </c>
      <c r="F104" s="92" t="s">
        <v>194</v>
      </c>
      <c r="G104" s="92" t="s">
        <v>66</v>
      </c>
      <c r="H104" s="92" t="s">
        <v>195</v>
      </c>
      <c r="I104" s="92" t="s">
        <v>196</v>
      </c>
      <c r="J104" s="6"/>
      <c r="K104" s="58"/>
      <c r="L104" s="58"/>
      <c r="M104" s="58"/>
      <c r="N104" s="58"/>
      <c r="O104" s="58"/>
      <c r="P104" s="79"/>
    </row>
    <row r="105" spans="3:16" ht="16" thickBot="1" x14ac:dyDescent="0.25">
      <c r="C105" s="369"/>
      <c r="D105" s="102"/>
      <c r="E105" s="90"/>
      <c r="F105" s="103" t="s">
        <v>255</v>
      </c>
      <c r="G105" s="103" t="s">
        <v>256</v>
      </c>
      <c r="H105" s="103" t="s">
        <v>257</v>
      </c>
      <c r="I105" s="103" t="s">
        <v>258</v>
      </c>
      <c r="J105" s="10"/>
      <c r="K105" s="13"/>
      <c r="L105" s="13"/>
      <c r="M105" s="13"/>
      <c r="N105" s="13"/>
      <c r="O105" s="13"/>
      <c r="P105" s="82"/>
    </row>
    <row r="106" spans="3:16" ht="16" thickBot="1" x14ac:dyDescent="0.25">
      <c r="C106" s="369"/>
      <c r="D106" s="10"/>
      <c r="E106" s="13"/>
      <c r="F106" s="10"/>
      <c r="G106" s="10"/>
      <c r="H106" s="10"/>
      <c r="I106" s="10"/>
      <c r="J106" s="10"/>
      <c r="K106" s="13"/>
      <c r="L106" s="13"/>
      <c r="M106" s="13"/>
      <c r="N106" s="13"/>
      <c r="O106" s="13"/>
      <c r="P106" s="82"/>
    </row>
    <row r="107" spans="3:16" x14ac:dyDescent="0.2">
      <c r="C107" s="369"/>
      <c r="D107" s="87" t="s">
        <v>201</v>
      </c>
      <c r="E107" s="88" t="s">
        <v>259</v>
      </c>
      <c r="F107" s="103" t="s">
        <v>203</v>
      </c>
      <c r="G107" s="103" t="s">
        <v>204</v>
      </c>
      <c r="H107" s="103" t="s">
        <v>205</v>
      </c>
      <c r="I107" s="103" t="s">
        <v>206</v>
      </c>
      <c r="J107" s="103" t="s">
        <v>207</v>
      </c>
      <c r="K107" s="103" t="s">
        <v>208</v>
      </c>
      <c r="L107" s="103" t="s">
        <v>209</v>
      </c>
      <c r="M107" s="103" t="s">
        <v>210</v>
      </c>
      <c r="N107" s="103" t="s">
        <v>211</v>
      </c>
      <c r="O107" s="103" t="s">
        <v>68</v>
      </c>
      <c r="P107" s="104" t="s">
        <v>212</v>
      </c>
    </row>
    <row r="108" spans="3:16" ht="16" thickBot="1" x14ac:dyDescent="0.25">
      <c r="C108" s="369"/>
      <c r="D108" s="89" t="s">
        <v>173</v>
      </c>
      <c r="E108" s="90"/>
      <c r="F108" s="103" t="s">
        <v>260</v>
      </c>
      <c r="G108" s="103" t="s">
        <v>261</v>
      </c>
      <c r="H108" s="103" t="s">
        <v>262</v>
      </c>
      <c r="I108" s="103" t="s">
        <v>263</v>
      </c>
      <c r="J108" s="103" t="s">
        <v>264</v>
      </c>
      <c r="K108" s="103" t="s">
        <v>265</v>
      </c>
      <c r="L108" s="103" t="s">
        <v>266</v>
      </c>
      <c r="M108" s="103" t="s">
        <v>267</v>
      </c>
      <c r="N108" s="103" t="s">
        <v>268</v>
      </c>
      <c r="O108" s="103" t="s">
        <v>269</v>
      </c>
      <c r="P108" s="104" t="s">
        <v>270</v>
      </c>
    </row>
    <row r="109" spans="3:16" ht="16" thickBot="1" x14ac:dyDescent="0.25">
      <c r="C109" s="369"/>
      <c r="D109" s="10"/>
      <c r="E109" s="13"/>
      <c r="F109" s="13"/>
      <c r="G109" s="13"/>
      <c r="H109" s="13"/>
      <c r="I109" s="13"/>
      <c r="J109" s="13"/>
      <c r="K109" s="13"/>
      <c r="L109" s="13"/>
      <c r="M109" s="13"/>
      <c r="N109" s="13"/>
      <c r="O109" s="13"/>
      <c r="P109" s="82"/>
    </row>
    <row r="110" spans="3:16" x14ac:dyDescent="0.2">
      <c r="C110" s="369"/>
      <c r="D110" s="87" t="s">
        <v>271</v>
      </c>
      <c r="E110" s="88" t="s">
        <v>272</v>
      </c>
      <c r="F110" s="13"/>
      <c r="G110" s="13"/>
      <c r="H110" s="13"/>
      <c r="I110" s="13"/>
      <c r="J110" s="13"/>
      <c r="K110" s="13"/>
      <c r="L110" s="13"/>
      <c r="M110" s="13"/>
      <c r="N110" s="13"/>
      <c r="O110" s="13"/>
      <c r="P110" s="82"/>
    </row>
    <row r="111" spans="3:16" ht="16" thickBot="1" x14ac:dyDescent="0.25">
      <c r="C111" s="369"/>
      <c r="D111" s="89"/>
      <c r="E111" s="90"/>
      <c r="F111" s="13"/>
      <c r="G111" s="13"/>
      <c r="H111" s="13"/>
      <c r="I111" s="13"/>
      <c r="J111" s="13"/>
      <c r="K111" s="13"/>
      <c r="L111" s="13"/>
      <c r="M111" s="13"/>
      <c r="N111" s="13"/>
      <c r="O111" s="13"/>
      <c r="P111" s="82"/>
    </row>
    <row r="112" spans="3:16" ht="16" thickBot="1" x14ac:dyDescent="0.25">
      <c r="C112" s="369"/>
      <c r="D112" s="10"/>
      <c r="E112" s="13"/>
      <c r="F112" s="13"/>
      <c r="G112" s="13"/>
      <c r="H112" s="13"/>
      <c r="I112" s="13"/>
      <c r="J112" s="13"/>
      <c r="K112" s="13"/>
      <c r="L112" s="13"/>
      <c r="M112" s="13"/>
      <c r="N112" s="13"/>
      <c r="O112" s="13"/>
      <c r="P112" s="82"/>
    </row>
    <row r="113" spans="3:16" x14ac:dyDescent="0.2">
      <c r="C113" s="369"/>
      <c r="D113" s="77" t="s">
        <v>273</v>
      </c>
      <c r="E113" s="78" t="s">
        <v>274</v>
      </c>
      <c r="F113" s="13"/>
      <c r="G113" s="13"/>
      <c r="H113" s="13"/>
      <c r="I113" s="13"/>
      <c r="J113" s="13"/>
      <c r="K113" s="13"/>
      <c r="L113" s="13"/>
      <c r="M113" s="13"/>
      <c r="N113" s="13"/>
      <c r="O113" s="13"/>
      <c r="P113" s="82"/>
    </row>
    <row r="114" spans="3:16" ht="16" thickBot="1" x14ac:dyDescent="0.25">
      <c r="C114" s="370"/>
      <c r="D114" s="80"/>
      <c r="E114" s="81"/>
      <c r="F114" s="35"/>
      <c r="G114" s="35"/>
      <c r="H114" s="35"/>
      <c r="I114" s="35"/>
      <c r="J114" s="35"/>
      <c r="K114" s="35"/>
      <c r="L114" s="35"/>
      <c r="M114" s="35"/>
      <c r="N114" s="35"/>
      <c r="O114" s="35"/>
      <c r="P114" s="85"/>
    </row>
    <row r="116" spans="3:16" ht="16" thickBot="1" x14ac:dyDescent="0.25"/>
    <row r="117" spans="3:16" ht="15" customHeight="1" x14ac:dyDescent="0.2">
      <c r="C117" s="412" t="s">
        <v>275</v>
      </c>
      <c r="D117" s="87" t="s">
        <v>276</v>
      </c>
      <c r="E117" s="88" t="s">
        <v>277</v>
      </c>
      <c r="F117" s="103" t="s">
        <v>194</v>
      </c>
      <c r="G117" s="103" t="s">
        <v>66</v>
      </c>
      <c r="H117" s="103" t="s">
        <v>195</v>
      </c>
      <c r="I117" s="103" t="s">
        <v>196</v>
      </c>
    </row>
    <row r="118" spans="3:16" ht="16" thickBot="1" x14ac:dyDescent="0.25">
      <c r="C118" s="413"/>
      <c r="D118" s="89"/>
      <c r="E118" s="90"/>
      <c r="F118" s="103" t="s">
        <v>278</v>
      </c>
      <c r="G118" s="103" t="s">
        <v>279</v>
      </c>
      <c r="H118" s="103" t="s">
        <v>280</v>
      </c>
      <c r="I118" s="103" t="s">
        <v>281</v>
      </c>
    </row>
    <row r="120" spans="3:16" ht="16" thickBot="1" x14ac:dyDescent="0.25"/>
    <row r="121" spans="3:16" ht="15" customHeight="1" x14ac:dyDescent="0.2">
      <c r="C121" s="412" t="s">
        <v>282</v>
      </c>
      <c r="D121" s="87" t="s">
        <v>276</v>
      </c>
      <c r="E121" s="88" t="s">
        <v>283</v>
      </c>
      <c r="F121" s="103" t="s">
        <v>194</v>
      </c>
      <c r="G121" s="103" t="s">
        <v>66</v>
      </c>
      <c r="H121" s="103" t="s">
        <v>195</v>
      </c>
      <c r="I121" s="103" t="s">
        <v>196</v>
      </c>
    </row>
    <row r="122" spans="3:16" ht="16" thickBot="1" x14ac:dyDescent="0.25">
      <c r="C122" s="413"/>
      <c r="D122" s="89"/>
      <c r="E122" s="90"/>
      <c r="F122" s="103" t="s">
        <v>284</v>
      </c>
      <c r="G122" s="103" t="s">
        <v>285</v>
      </c>
      <c r="H122" s="103" t="s">
        <v>286</v>
      </c>
      <c r="I122" s="103" t="s">
        <v>287</v>
      </c>
    </row>
    <row r="124" spans="3:16" ht="16" thickBot="1" x14ac:dyDescent="0.25"/>
    <row r="125" spans="3:16" ht="15" customHeight="1" x14ac:dyDescent="0.2">
      <c r="C125" s="412" t="s">
        <v>288</v>
      </c>
      <c r="D125" s="87" t="s">
        <v>276</v>
      </c>
      <c r="E125" s="88" t="s">
        <v>289</v>
      </c>
      <c r="F125" s="103" t="s">
        <v>194</v>
      </c>
      <c r="G125" s="103" t="s">
        <v>66</v>
      </c>
      <c r="H125" s="103" t="s">
        <v>195</v>
      </c>
      <c r="I125" s="103" t="s">
        <v>196</v>
      </c>
    </row>
    <row r="126" spans="3:16" ht="16" thickBot="1" x14ac:dyDescent="0.25">
      <c r="C126" s="413"/>
      <c r="D126" s="89"/>
      <c r="E126" s="90"/>
      <c r="F126" s="103" t="s">
        <v>290</v>
      </c>
      <c r="G126" s="103" t="s">
        <v>285</v>
      </c>
      <c r="H126" s="103" t="s">
        <v>286</v>
      </c>
      <c r="I126" s="103" t="s">
        <v>287</v>
      </c>
    </row>
    <row r="128" spans="3:16" ht="16" thickBot="1" x14ac:dyDescent="0.25"/>
    <row r="129" spans="3:11" ht="15" customHeight="1" x14ac:dyDescent="0.2">
      <c r="C129" s="368" t="s">
        <v>291</v>
      </c>
      <c r="D129" s="87" t="s">
        <v>292</v>
      </c>
      <c r="E129" s="88" t="s">
        <v>293</v>
      </c>
      <c r="F129" s="92" t="s">
        <v>294</v>
      </c>
      <c r="G129" s="92" t="s">
        <v>295</v>
      </c>
      <c r="H129" s="92" t="s">
        <v>296</v>
      </c>
      <c r="I129" s="92" t="s">
        <v>297</v>
      </c>
      <c r="J129" s="92" t="s">
        <v>298</v>
      </c>
      <c r="K129" s="79"/>
    </row>
    <row r="130" spans="3:11" ht="16" thickBot="1" x14ac:dyDescent="0.25">
      <c r="C130" s="369"/>
      <c r="D130" s="89"/>
      <c r="E130" s="90"/>
      <c r="F130" s="103" t="s">
        <v>299</v>
      </c>
      <c r="G130" s="103" t="s">
        <v>300</v>
      </c>
      <c r="H130" s="103" t="s">
        <v>301</v>
      </c>
      <c r="I130" s="103" t="s">
        <v>302</v>
      </c>
      <c r="J130" s="103" t="s">
        <v>303</v>
      </c>
      <c r="K130" s="82"/>
    </row>
    <row r="131" spans="3:11" ht="16" thickBot="1" x14ac:dyDescent="0.25">
      <c r="C131" s="369"/>
      <c r="D131" s="10"/>
      <c r="E131" s="13"/>
      <c r="F131" s="10"/>
      <c r="G131" s="10"/>
      <c r="H131" s="10"/>
      <c r="I131" s="13"/>
      <c r="J131" s="13"/>
      <c r="K131" s="82"/>
    </row>
    <row r="132" spans="3:11" x14ac:dyDescent="0.2">
      <c r="C132" s="369"/>
      <c r="D132" s="87" t="s">
        <v>304</v>
      </c>
      <c r="E132" s="88" t="s">
        <v>305</v>
      </c>
      <c r="F132" s="103" t="s">
        <v>306</v>
      </c>
      <c r="G132" s="103" t="s">
        <v>307</v>
      </c>
      <c r="H132" s="103" t="s">
        <v>308</v>
      </c>
      <c r="I132" s="103" t="s">
        <v>309</v>
      </c>
      <c r="J132" s="103" t="s">
        <v>310</v>
      </c>
      <c r="K132" s="104" t="s">
        <v>311</v>
      </c>
    </row>
    <row r="133" spans="3:11" ht="16" thickBot="1" x14ac:dyDescent="0.25">
      <c r="C133" s="369"/>
      <c r="D133" s="89"/>
      <c r="E133" s="90"/>
      <c r="F133" s="103" t="s">
        <v>312</v>
      </c>
      <c r="G133" s="103" t="s">
        <v>313</v>
      </c>
      <c r="H133" s="103" t="s">
        <v>314</v>
      </c>
      <c r="I133" s="103" t="s">
        <v>315</v>
      </c>
      <c r="J133" s="103" t="s">
        <v>316</v>
      </c>
      <c r="K133" s="104" t="s">
        <v>317</v>
      </c>
    </row>
    <row r="134" spans="3:11" ht="16" thickBot="1" x14ac:dyDescent="0.25">
      <c r="C134" s="369"/>
      <c r="D134" s="10"/>
      <c r="E134" s="13"/>
      <c r="F134" s="10"/>
      <c r="G134" s="10"/>
      <c r="H134" s="10"/>
      <c r="I134" s="10"/>
      <c r="J134" s="10"/>
      <c r="K134" s="82"/>
    </row>
    <row r="135" spans="3:11" x14ac:dyDescent="0.2">
      <c r="C135" s="369"/>
      <c r="D135" s="87" t="s">
        <v>318</v>
      </c>
      <c r="E135" s="88" t="s">
        <v>319</v>
      </c>
      <c r="F135" s="103" t="s">
        <v>320</v>
      </c>
      <c r="G135" s="103" t="s">
        <v>321</v>
      </c>
      <c r="H135" s="103" t="s">
        <v>322</v>
      </c>
      <c r="I135" s="103" t="s">
        <v>323</v>
      </c>
      <c r="J135" s="10"/>
      <c r="K135" s="82"/>
    </row>
    <row r="136" spans="3:11" ht="16" thickBot="1" x14ac:dyDescent="0.25">
      <c r="C136" s="370"/>
      <c r="D136" s="89"/>
      <c r="E136" s="90"/>
      <c r="F136" s="95" t="s">
        <v>324</v>
      </c>
      <c r="G136" s="95" t="s">
        <v>325</v>
      </c>
      <c r="H136" s="95" t="s">
        <v>326</v>
      </c>
      <c r="I136" s="95" t="s">
        <v>327</v>
      </c>
      <c r="J136" s="36"/>
      <c r="K136" s="85"/>
    </row>
  </sheetData>
  <mergeCells count="11">
    <mergeCell ref="C104:C114"/>
    <mergeCell ref="C117:C118"/>
    <mergeCell ref="C121:C122"/>
    <mergeCell ref="C125:C126"/>
    <mergeCell ref="C129:C136"/>
    <mergeCell ref="C94:C101"/>
    <mergeCell ref="C2:C30"/>
    <mergeCell ref="C33:C43"/>
    <mergeCell ref="C46:C53"/>
    <mergeCell ref="C56:C69"/>
    <mergeCell ref="C72:C9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ISIS zone budget14 september</vt:lpstr>
      <vt:lpstr>ISIS zone budget</vt:lpstr>
      <vt:lpstr>LABOUR &amp; travel</vt:lpstr>
      <vt:lpstr>x TG2 JUN 2017</vt:lpstr>
      <vt:lpstr>OPTION 2 break 2016</vt:lpstr>
      <vt:lpstr>PBS budget</vt:lpstr>
      <vt:lpstr>blokki</vt:lpstr>
    </vt:vector>
  </TitlesOfParts>
  <Company>STFC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Lorenzo Di Fresco</dc:creator>
  <cp:lastModifiedBy>Microsoft Office User</cp:lastModifiedBy>
  <cp:lastPrinted>2017-09-05T11:47:18Z</cp:lastPrinted>
  <dcterms:created xsi:type="dcterms:W3CDTF">2017-06-05T14:13:01Z</dcterms:created>
  <dcterms:modified xsi:type="dcterms:W3CDTF">2017-09-17T12:04:25Z</dcterms:modified>
</cp:coreProperties>
</file>