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07"/>
  <workbookPr/>
  <mc:AlternateContent xmlns:mc="http://schemas.openxmlformats.org/markup-compatibility/2006">
    <mc:Choice Requires="x15">
      <x15ac:absPath xmlns:x15ac="http://schemas.microsoft.com/office/spreadsheetml/2010/11/ac" url="/Users/karolszymczyk/Google Drive/Moj Swierk/gamma blockery/GB Inkind/CDR/"/>
    </mc:Choice>
  </mc:AlternateContent>
  <bookViews>
    <workbookView xWindow="0" yWindow="440" windowWidth="25600" windowHeight="14500"/>
  </bookViews>
  <sheets>
    <sheet name="GB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1" l="1"/>
  <c r="B64" i="1"/>
  <c r="B63" i="1"/>
  <c r="B59" i="1"/>
  <c r="J58" i="1"/>
  <c r="B58" i="1"/>
  <c r="B55" i="1"/>
  <c r="B54" i="1"/>
  <c r="B50" i="1"/>
  <c r="B51" i="1"/>
  <c r="B45" i="1"/>
  <c r="B43" i="1"/>
  <c r="B40" i="1"/>
  <c r="B35" i="1"/>
  <c r="B34" i="1"/>
  <c r="K29" i="1"/>
  <c r="K31" i="1"/>
  <c r="K32" i="1"/>
  <c r="K33" i="1"/>
  <c r="J29" i="1"/>
  <c r="J31" i="1"/>
  <c r="J32" i="1"/>
  <c r="J33" i="1"/>
  <c r="I29" i="1"/>
  <c r="I31" i="1"/>
  <c r="I32" i="1"/>
  <c r="I33" i="1"/>
  <c r="B29" i="1"/>
  <c r="B31" i="1"/>
  <c r="B32" i="1"/>
  <c r="K30" i="1"/>
  <c r="J30" i="1"/>
  <c r="I30" i="1"/>
  <c r="B30" i="1"/>
  <c r="B21" i="1"/>
  <c r="B18" i="1"/>
  <c r="B11" i="1"/>
  <c r="B10" i="1"/>
  <c r="B37" i="1"/>
  <c r="B33" i="1"/>
  <c r="B22" i="1"/>
  <c r="B41" i="1"/>
  <c r="B7" i="1"/>
  <c r="B5" i="1"/>
  <c r="B53" i="1"/>
  <c r="B6" i="1"/>
  <c r="B8" i="1"/>
  <c r="B9" i="1"/>
</calcChain>
</file>

<file path=xl/sharedStrings.xml><?xml version="1.0" encoding="utf-8"?>
<sst xmlns="http://schemas.openxmlformats.org/spreadsheetml/2006/main" count="204" uniqueCount="152">
  <si>
    <t>Calculation sheet for Gamma Blocker 1 (A2T section)</t>
  </si>
  <si>
    <t>Property</t>
  </si>
  <si>
    <t>Value</t>
  </si>
  <si>
    <t>Unit</t>
  </si>
  <si>
    <t>Formula</t>
  </si>
  <si>
    <t>Description</t>
  </si>
  <si>
    <t>Comments</t>
  </si>
  <si>
    <t>F_lifting</t>
  </si>
  <si>
    <t>N</t>
  </si>
  <si>
    <t>Force applied on the chain required to move the GB core from closed to open position</t>
  </si>
  <si>
    <t>F_holding</t>
  </si>
  <si>
    <t>Force required to hold the GB core in Open position</t>
  </si>
  <si>
    <t xml:space="preserve">F_fallingU </t>
  </si>
  <si>
    <t>Force required to hold the GB core near Open position at max allowable speed (47mm/s)</t>
  </si>
  <si>
    <t>On power down, the GB core falling speed will stabilize in a range between 8 and 47mm/s, thus ensuring required delay before beamline/core intersection</t>
  </si>
  <si>
    <t>F_fallingUmin</t>
  </si>
  <si>
    <t>Force required to hold the GB core near Open position at regular operiation speed (8mm/s)</t>
  </si>
  <si>
    <t>F_fallingL</t>
  </si>
  <si>
    <t>Force required to hold the GB core near closed position</t>
  </si>
  <si>
    <t>V_nominal</t>
  </si>
  <si>
    <t>mm/s</t>
  </si>
  <si>
    <t>GB core speed during regular operation</t>
  </si>
  <si>
    <t>V_critical</t>
  </si>
  <si>
    <t>maximum GB core speed in dealy time during failsafe operation</t>
  </si>
  <si>
    <t>L_travel</t>
  </si>
  <si>
    <t>mm</t>
  </si>
  <si>
    <t>Total travel of GB core</t>
  </si>
  <si>
    <t>L_res</t>
  </si>
  <si>
    <t>GB core travel during intersection delay time</t>
  </si>
  <si>
    <t>t_travel</t>
  </si>
  <si>
    <t>s</t>
  </si>
  <si>
    <t>maximum time for position change</t>
  </si>
  <si>
    <t>t_res</t>
  </si>
  <si>
    <t>delay between indication of motion and GB core/beamline intersection</t>
  </si>
  <si>
    <t>D_core</t>
  </si>
  <si>
    <t>GB core diameter</t>
  </si>
  <si>
    <t>D_beamline</t>
  </si>
  <si>
    <t>beamline pipe diameter</t>
  </si>
  <si>
    <t>F_g</t>
  </si>
  <si>
    <t>unbalanced gravity force</t>
  </si>
  <si>
    <t>m</t>
  </si>
  <si>
    <t>kg</t>
  </si>
  <si>
    <t>unbalanced moving mass (core+core holder rod + assembly accesories on carriage)</t>
  </si>
  <si>
    <t xml:space="preserve">core=50,5kg, rod=13kg, accesories=1,5kg, </t>
  </si>
  <si>
    <t>g</t>
  </si>
  <si>
    <t>m/s^2</t>
  </si>
  <si>
    <t>gravity acceleration constant</t>
  </si>
  <si>
    <t>F_su</t>
  </si>
  <si>
    <t>Bellow spring force in max length</t>
  </si>
  <si>
    <t>VACOM welded bellow, diaphragm DN63, 65/108mm, 316L steel</t>
  </si>
  <si>
    <t>DN63 bellow options</t>
  </si>
  <si>
    <t>F_sd</t>
  </si>
  <si>
    <t>Bellow spring force in min length</t>
  </si>
  <si>
    <t>diaphragm size</t>
  </si>
  <si>
    <t>65/90</t>
  </si>
  <si>
    <t>60/88</t>
  </si>
  <si>
    <t>65/108</t>
  </si>
  <si>
    <t>SRz</t>
  </si>
  <si>
    <t>N/mm</t>
  </si>
  <si>
    <t>single diaphragm spring rate</t>
  </si>
  <si>
    <t>L_1min</t>
  </si>
  <si>
    <t>single diaphragm compressed length</t>
  </si>
  <si>
    <t>L_1free</t>
  </si>
  <si>
    <t>single diaphragm free length</t>
  </si>
  <si>
    <t>L_1stroke</t>
  </si>
  <si>
    <t>single diaphragm stroke</t>
  </si>
  <si>
    <t>EA</t>
  </si>
  <si>
    <t>cm^2</t>
  </si>
  <si>
    <t>Bellow efective area (for vacuum force)</t>
  </si>
  <si>
    <t>N_conv</t>
  </si>
  <si>
    <t>number of bellow convolutions</t>
  </si>
  <si>
    <t>L_max</t>
  </si>
  <si>
    <t>Bellow maximum length (w/o end fittings)</t>
  </si>
  <si>
    <t>L_free</t>
  </si>
  <si>
    <t>Bellow free length (w/o end fittings)</t>
  </si>
  <si>
    <t>L_min</t>
  </si>
  <si>
    <t>Bellow minimum length (w/o end fittings)</t>
  </si>
  <si>
    <t>L_maxtravel</t>
  </si>
  <si>
    <t>Bellow maximum travel</t>
  </si>
  <si>
    <t>F_fg</t>
  </si>
  <si>
    <t>Linear guide friction</t>
  </si>
  <si>
    <t>NTN-SNR linear guide: LGBXH 20 FL 1 SS L 00400 N Z1-1-0-20 N</t>
  </si>
  <si>
    <t>F_su+F_sd</t>
  </si>
  <si>
    <t>F_fseal</t>
  </si>
  <si>
    <t>friction from carriage sealing</t>
  </si>
  <si>
    <t>manufacturer data</t>
  </si>
  <si>
    <t>F_fpreload</t>
  </si>
  <si>
    <t>friction from preload</t>
  </si>
  <si>
    <t>m_carriage</t>
  </si>
  <si>
    <t>tension coefficient of carriage</t>
  </si>
  <si>
    <t>for assumed load distribution</t>
  </si>
  <si>
    <t>M_load</t>
  </si>
  <si>
    <t>Nm</t>
  </si>
  <si>
    <t>Load torque on carriage</t>
  </si>
  <si>
    <t>L_carriage</t>
  </si>
  <si>
    <t>length of ball-suported part of linear guide carriage</t>
  </si>
  <si>
    <t>R_d</t>
  </si>
  <si>
    <t>distance between linear guide symmetry line and hydraulic damper rack pitch line</t>
  </si>
  <si>
    <t>R_f</t>
  </si>
  <si>
    <t>distance between linear guide and chain symmetry lines</t>
  </si>
  <si>
    <t>F_fc</t>
  </si>
  <si>
    <t>Roller chain friction losses</t>
  </si>
  <si>
    <t>friction coefficient</t>
  </si>
  <si>
    <t>F_vac</t>
  </si>
  <si>
    <t>Force from vacuum on a bellow</t>
  </si>
  <si>
    <t>Dp</t>
  </si>
  <si>
    <t>Mpa</t>
  </si>
  <si>
    <t>pressure difference</t>
  </si>
  <si>
    <t>F_dt</t>
  </si>
  <si>
    <t>Force from stepper motor detent torque:</t>
  </si>
  <si>
    <t>M_R</t>
  </si>
  <si>
    <t>Stepper motor continous torque</t>
  </si>
  <si>
    <t>Phytron VSH-80.200.5-S3</t>
  </si>
  <si>
    <t>M_dt</t>
  </si>
  <si>
    <t>Stepper motor detent torque</t>
  </si>
  <si>
    <t>i</t>
  </si>
  <si>
    <t>reduction ratio</t>
  </si>
  <si>
    <t>Phytron VGPL105, 2 stages</t>
  </si>
  <si>
    <t>h</t>
  </si>
  <si>
    <t>reductor efficiency</t>
  </si>
  <si>
    <t>M_RR</t>
  </si>
  <si>
    <t>Torque on reductor shaft</t>
  </si>
  <si>
    <t>F_RR</t>
  </si>
  <si>
    <t>maximum driving force on the chain</t>
  </si>
  <si>
    <t>D_pc</t>
  </si>
  <si>
    <t xml:space="preserve">roller chain sprocket pitch diameter </t>
  </si>
  <si>
    <t>chain size 08B-2, T=15</t>
  </si>
  <si>
    <t>DR</t>
  </si>
  <si>
    <t>Load to drive ratio</t>
  </si>
  <si>
    <t>rpm</t>
  </si>
  <si>
    <t>Stepper motor rotation speed required at normal operation:</t>
  </si>
  <si>
    <t>F_hd</t>
  </si>
  <si>
    <t xml:space="preserve">Force from hydraulic damper </t>
  </si>
  <si>
    <t>n_hd</t>
  </si>
  <si>
    <t>number of dampers in parallel action</t>
  </si>
  <si>
    <t>FDT-70 torque vs. Speed</t>
  </si>
  <si>
    <t>M_hd</t>
  </si>
  <si>
    <t>damper torque at power down (47mm/s - 11,9 rpm)</t>
  </si>
  <si>
    <t>rotation speed [rpm]</t>
  </si>
  <si>
    <t>F_hdmin</t>
  </si>
  <si>
    <t>minimum force from damper (@2,5rpm)</t>
  </si>
  <si>
    <t>torque [Nm]</t>
  </si>
  <si>
    <t>F_hdmax</t>
  </si>
  <si>
    <t>maximum force from damper (@max speed)</t>
  </si>
  <si>
    <t>D_pr</t>
  </si>
  <si>
    <t xml:space="preserve">Pinion gear pitch diameter: </t>
  </si>
  <si>
    <t>M</t>
  </si>
  <si>
    <t>Pinion gear module</t>
  </si>
  <si>
    <t>Z</t>
  </si>
  <si>
    <t>Pinion gear teeth number</t>
  </si>
  <si>
    <t>Rotary damper rotation speed at normal operation (8,6mm/s)</t>
  </si>
  <si>
    <t>Rotary damper rotation speed at power down (47mm/s)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</si>
</sst>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ck">
        <color theme="4"/>
      </bottom>
      <diagonal/>
    </border>
    <border>
      <left/>
      <right/>
      <top style="medium">
        <color auto="1"/>
      </top>
      <bottom style="thick">
        <color theme="4"/>
      </bottom>
      <diagonal/>
    </border>
    <border>
      <left/>
      <right style="medium">
        <color auto="1"/>
      </right>
      <top style="medium">
        <color auto="1"/>
      </top>
      <bottom style="thick">
        <color theme="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40">
    <xf numFmtId="0" fontId="0" fillId="0" borderId="0" xfId="0"/>
    <xf numFmtId="0" fontId="1" fillId="0" borderId="0" xfId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5" fillId="3" borderId="2" xfId="3" applyFont="1" applyFill="1" applyBorder="1"/>
    <xf numFmtId="0" fontId="5" fillId="3" borderId="3" xfId="3" applyFont="1" applyFill="1" applyBorder="1"/>
    <xf numFmtId="0" fontId="5" fillId="3" borderId="3" xfId="3" applyFont="1" applyFill="1" applyBorder="1" applyAlignment="1">
      <alignment wrapText="1"/>
    </xf>
    <xf numFmtId="0" fontId="5" fillId="3" borderId="4" xfId="3" applyFont="1" applyFill="1" applyBorder="1" applyAlignment="1">
      <alignment wrapText="1"/>
    </xf>
    <xf numFmtId="0" fontId="6" fillId="0" borderId="5" xfId="0" applyFont="1" applyBorder="1"/>
    <xf numFmtId="2" fontId="0" fillId="0" borderId="0" xfId="0" applyNumberFormat="1" applyBorder="1"/>
    <xf numFmtId="0" fontId="0" fillId="0" borderId="0" xfId="0" applyBorder="1"/>
    <xf numFmtId="0" fontId="0" fillId="0" borderId="0" xfId="0" applyFont="1" applyBorder="1" applyAlignment="1">
      <alignment wrapText="1"/>
    </xf>
    <xf numFmtId="0" fontId="0" fillId="0" borderId="6" xfId="0" applyBorder="1" applyAlignment="1">
      <alignment wrapText="1"/>
    </xf>
    <xf numFmtId="0" fontId="6" fillId="0" borderId="5" xfId="0" applyFont="1" applyBorder="1" applyAlignment="1">
      <alignment horizontal="justify" vertical="center"/>
    </xf>
    <xf numFmtId="0" fontId="4" fillId="0" borderId="5" xfId="0" applyFont="1" applyBorder="1"/>
    <xf numFmtId="0" fontId="7" fillId="0" borderId="0" xfId="0" applyFont="1" applyBorder="1" applyAlignment="1">
      <alignment vertical="center" wrapText="1"/>
    </xf>
    <xf numFmtId="0" fontId="2" fillId="0" borderId="7" xfId="2" applyBorder="1" applyAlignment="1"/>
    <xf numFmtId="0" fontId="2" fillId="0" borderId="8" xfId="2" applyBorder="1"/>
    <xf numFmtId="0" fontId="2" fillId="0" borderId="8" xfId="2" applyBorder="1" applyAlignment="1"/>
    <xf numFmtId="0" fontId="2" fillId="0" borderId="9" xfId="2" applyBorder="1" applyAlignment="1"/>
    <xf numFmtId="0" fontId="0" fillId="3" borderId="5" xfId="0" applyFill="1" applyBorder="1" applyAlignment="1">
      <alignment wrapText="1"/>
    </xf>
    <xf numFmtId="0" fontId="0" fillId="0" borderId="6" xfId="0" applyBorder="1"/>
    <xf numFmtId="0" fontId="7" fillId="0" borderId="0" xfId="0" applyFont="1" applyBorder="1" applyAlignment="1">
      <alignment wrapText="1"/>
    </xf>
    <xf numFmtId="0" fontId="4" fillId="3" borderId="5" xfId="0" applyFont="1" applyFill="1" applyBorder="1"/>
    <xf numFmtId="0" fontId="4" fillId="3" borderId="10" xfId="0" applyFont="1" applyFill="1" applyBorder="1"/>
    <xf numFmtId="0" fontId="0" fillId="0" borderId="11" xfId="0" applyBorder="1"/>
    <xf numFmtId="0" fontId="0" fillId="0" borderId="12" xfId="0" applyBorder="1"/>
    <xf numFmtId="164" fontId="0" fillId="0" borderId="0" xfId="0" applyNumberFormat="1" applyBorder="1"/>
    <xf numFmtId="0" fontId="8" fillId="0" borderId="5" xfId="0" applyFont="1" applyBorder="1"/>
    <xf numFmtId="1" fontId="0" fillId="0" borderId="0" xfId="0" applyNumberFormat="1" applyBorder="1"/>
    <xf numFmtId="0" fontId="2" fillId="0" borderId="7" xfId="2" applyBorder="1"/>
    <xf numFmtId="0" fontId="2" fillId="0" borderId="9" xfId="2" applyBorder="1"/>
    <xf numFmtId="0" fontId="0" fillId="0" borderId="5" xfId="0" applyBorder="1"/>
    <xf numFmtId="0" fontId="4" fillId="0" borderId="10" xfId="0" applyFont="1" applyBorder="1"/>
    <xf numFmtId="2" fontId="0" fillId="0" borderId="11" xfId="0" applyNumberFormat="1" applyBorder="1"/>
    <xf numFmtId="0" fontId="7" fillId="0" borderId="11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0" fillId="0" borderId="10" xfId="0" applyBorder="1"/>
    <xf numFmtId="0" fontId="0" fillId="0" borderId="6" xfId="0" applyBorder="1" applyAlignment="1">
      <alignment wrapText="1"/>
    </xf>
  </cellXfs>
  <cellStyles count="4">
    <cellStyle name="Dobre" xfId="3" builtinId="26"/>
    <cellStyle name="Nagłówek 1" xfId="2" builtinId="16"/>
    <cellStyle name="Norm." xfId="0" builtinId="0"/>
    <cellStyle name="Tytuł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20" Type="http://schemas.openxmlformats.org/officeDocument/2006/relationships/image" Target="../media/image20.png"/><Relationship Id="rId21" Type="http://schemas.openxmlformats.org/officeDocument/2006/relationships/image" Target="../media/image21.png"/><Relationship Id="rId22" Type="http://schemas.openxmlformats.org/officeDocument/2006/relationships/image" Target="../media/image22.png"/><Relationship Id="rId23" Type="http://schemas.openxmlformats.org/officeDocument/2006/relationships/image" Target="../media/image23.png"/><Relationship Id="rId24" Type="http://schemas.openxmlformats.org/officeDocument/2006/relationships/image" Target="../media/image24.png"/><Relationship Id="rId25" Type="http://schemas.openxmlformats.org/officeDocument/2006/relationships/image" Target="../media/image25.png"/><Relationship Id="rId26" Type="http://schemas.openxmlformats.org/officeDocument/2006/relationships/image" Target="../media/image26.png"/><Relationship Id="rId27" Type="http://schemas.openxmlformats.org/officeDocument/2006/relationships/image" Target="../media/image27.png"/><Relationship Id="rId28" Type="http://schemas.openxmlformats.org/officeDocument/2006/relationships/image" Target="../media/image28.png"/><Relationship Id="rId29" Type="http://schemas.openxmlformats.org/officeDocument/2006/relationships/image" Target="../media/image29.png"/><Relationship Id="rId30" Type="http://schemas.openxmlformats.org/officeDocument/2006/relationships/image" Target="../media/image30.png"/><Relationship Id="rId31" Type="http://schemas.openxmlformats.org/officeDocument/2006/relationships/image" Target="../media/image31.png"/><Relationship Id="rId32" Type="http://schemas.openxmlformats.org/officeDocument/2006/relationships/image" Target="../media/image32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png"/><Relationship Id="rId13" Type="http://schemas.openxmlformats.org/officeDocument/2006/relationships/image" Target="../media/image13.png"/><Relationship Id="rId14" Type="http://schemas.openxmlformats.org/officeDocument/2006/relationships/image" Target="../media/image14.png"/><Relationship Id="rId15" Type="http://schemas.openxmlformats.org/officeDocument/2006/relationships/image" Target="../media/image15.png"/><Relationship Id="rId16" Type="http://schemas.openxmlformats.org/officeDocument/2006/relationships/image" Target="../media/image16.png"/><Relationship Id="rId17" Type="http://schemas.openxmlformats.org/officeDocument/2006/relationships/image" Target="../media/image17.png"/><Relationship Id="rId18" Type="http://schemas.openxmlformats.org/officeDocument/2006/relationships/image" Target="../media/image18.png"/><Relationship Id="rId19" Type="http://schemas.openxmlformats.org/officeDocument/2006/relationships/image" Target="../media/image19.png"/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0</xdr:rowOff>
    </xdr:from>
    <xdr:to>
      <xdr:col>3</xdr:col>
      <xdr:colOff>666667</xdr:colOff>
      <xdr:row>17</xdr:row>
      <xdr:rowOff>200000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00300" y="4581525"/>
          <a:ext cx="666667" cy="2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20</xdr:row>
      <xdr:rowOff>0</xdr:rowOff>
    </xdr:from>
    <xdr:to>
      <xdr:col>3</xdr:col>
      <xdr:colOff>1819048</xdr:colOff>
      <xdr:row>20</xdr:row>
      <xdr:rowOff>371429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00300" y="5410200"/>
          <a:ext cx="1819048" cy="371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40</xdr:row>
      <xdr:rowOff>0</xdr:rowOff>
    </xdr:from>
    <xdr:to>
      <xdr:col>3</xdr:col>
      <xdr:colOff>1323975</xdr:colOff>
      <xdr:row>41</xdr:row>
      <xdr:rowOff>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0744200"/>
          <a:ext cx="13239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180975</xdr:colOff>
      <xdr:row>53</xdr:row>
      <xdr:rowOff>180975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7795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228600</xdr:colOff>
      <xdr:row>63</xdr:row>
      <xdr:rowOff>180975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640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21</xdr:row>
      <xdr:rowOff>0</xdr:rowOff>
    </xdr:from>
    <xdr:to>
      <xdr:col>3</xdr:col>
      <xdr:colOff>1809750</xdr:colOff>
      <xdr:row>21</xdr:row>
      <xdr:rowOff>371475</xdr:rowOff>
    </xdr:to>
    <xdr:pic>
      <xdr:nvPicPr>
        <xdr:cNvPr id="7" name="Obraz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5857875"/>
          <a:ext cx="18097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28</xdr:row>
      <xdr:rowOff>0</xdr:rowOff>
    </xdr:from>
    <xdr:to>
      <xdr:col>3</xdr:col>
      <xdr:colOff>2143125</xdr:colOff>
      <xdr:row>28</xdr:row>
      <xdr:rowOff>180975</xdr:rowOff>
    </xdr:to>
    <xdr:pic>
      <xdr:nvPicPr>
        <xdr:cNvPr id="8" name="Obraz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7505700"/>
          <a:ext cx="21431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1295400</xdr:colOff>
      <xdr:row>30</xdr:row>
      <xdr:rowOff>180975</xdr:rowOff>
    </xdr:to>
    <xdr:pic>
      <xdr:nvPicPr>
        <xdr:cNvPr id="9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7905750"/>
          <a:ext cx="1295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29</xdr:row>
      <xdr:rowOff>0</xdr:rowOff>
    </xdr:from>
    <xdr:to>
      <xdr:col>3</xdr:col>
      <xdr:colOff>1371600</xdr:colOff>
      <xdr:row>30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7705725"/>
          <a:ext cx="13716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32</xdr:row>
      <xdr:rowOff>0</xdr:rowOff>
    </xdr:from>
    <xdr:to>
      <xdr:col>3</xdr:col>
      <xdr:colOff>3114675</xdr:colOff>
      <xdr:row>32</xdr:row>
      <xdr:rowOff>390525</xdr:rowOff>
    </xdr:to>
    <xdr:pic>
      <xdr:nvPicPr>
        <xdr:cNvPr id="11" name="Obraz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8305800"/>
          <a:ext cx="31146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36</xdr:row>
      <xdr:rowOff>0</xdr:rowOff>
    </xdr:from>
    <xdr:to>
      <xdr:col>3</xdr:col>
      <xdr:colOff>2571750</xdr:colOff>
      <xdr:row>37</xdr:row>
      <xdr:rowOff>9525</xdr:rowOff>
    </xdr:to>
    <xdr:pic>
      <xdr:nvPicPr>
        <xdr:cNvPr id="12" name="Obraz 1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9344025"/>
          <a:ext cx="25717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42</xdr:row>
      <xdr:rowOff>0</xdr:rowOff>
    </xdr:from>
    <xdr:to>
      <xdr:col>3</xdr:col>
      <xdr:colOff>933450</xdr:colOff>
      <xdr:row>42</xdr:row>
      <xdr:rowOff>180975</xdr:rowOff>
    </xdr:to>
    <xdr:pic>
      <xdr:nvPicPr>
        <xdr:cNvPr id="13" name="Obraz 12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1144250"/>
          <a:ext cx="9334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59</xdr:row>
      <xdr:rowOff>0</xdr:rowOff>
    </xdr:from>
    <xdr:to>
      <xdr:col>3</xdr:col>
      <xdr:colOff>762000</xdr:colOff>
      <xdr:row>59</xdr:row>
      <xdr:rowOff>200025</xdr:rowOff>
    </xdr:to>
    <xdr:pic>
      <xdr:nvPicPr>
        <xdr:cNvPr id="14" name="Obraz 13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5897225"/>
          <a:ext cx="7620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11</xdr:row>
      <xdr:rowOff>0</xdr:rowOff>
    </xdr:from>
    <xdr:to>
      <xdr:col>3</xdr:col>
      <xdr:colOff>2609850</xdr:colOff>
      <xdr:row>11</xdr:row>
      <xdr:rowOff>180975</xdr:rowOff>
    </xdr:to>
    <xdr:pic>
      <xdr:nvPicPr>
        <xdr:cNvPr id="15" name="Obraz 14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3200400"/>
          <a:ext cx="26098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3</xdr:col>
      <xdr:colOff>1628775</xdr:colOff>
      <xdr:row>9</xdr:row>
      <xdr:rowOff>180975</xdr:rowOff>
    </xdr:to>
    <xdr:pic>
      <xdr:nvPicPr>
        <xdr:cNvPr id="16" name="Obraz 15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2619375"/>
          <a:ext cx="1628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1247775</xdr:colOff>
      <xdr:row>10</xdr:row>
      <xdr:rowOff>180975</xdr:rowOff>
    </xdr:to>
    <xdr:pic>
      <xdr:nvPicPr>
        <xdr:cNvPr id="17" name="Obraz 16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2819400"/>
          <a:ext cx="1247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31</xdr:row>
      <xdr:rowOff>0</xdr:rowOff>
    </xdr:from>
    <xdr:to>
      <xdr:col>3</xdr:col>
      <xdr:colOff>1685925</xdr:colOff>
      <xdr:row>31</xdr:row>
      <xdr:rowOff>180975</xdr:rowOff>
    </xdr:to>
    <xdr:pic>
      <xdr:nvPicPr>
        <xdr:cNvPr id="18" name="Obraz 17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8105775"/>
          <a:ext cx="16859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</xdr:row>
      <xdr:rowOff>0</xdr:rowOff>
    </xdr:from>
    <xdr:to>
      <xdr:col>3</xdr:col>
      <xdr:colOff>2695575</xdr:colOff>
      <xdr:row>4</xdr:row>
      <xdr:rowOff>200025</xdr:rowOff>
    </xdr:to>
    <xdr:pic>
      <xdr:nvPicPr>
        <xdr:cNvPr id="19" name="Obraz 18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876300"/>
          <a:ext cx="26955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</xdr:row>
      <xdr:rowOff>0</xdr:rowOff>
    </xdr:from>
    <xdr:to>
      <xdr:col>3</xdr:col>
      <xdr:colOff>3200400</xdr:colOff>
      <xdr:row>6</xdr:row>
      <xdr:rowOff>200025</xdr:rowOff>
    </xdr:to>
    <xdr:pic>
      <xdr:nvPicPr>
        <xdr:cNvPr id="20" name="Obraz 19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57325"/>
          <a:ext cx="32004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</xdr:row>
      <xdr:rowOff>0</xdr:rowOff>
    </xdr:from>
    <xdr:to>
      <xdr:col>3</xdr:col>
      <xdr:colOff>3609524</xdr:colOff>
      <xdr:row>7</xdr:row>
      <xdr:rowOff>200000</xdr:rowOff>
    </xdr:to>
    <xdr:pic>
      <xdr:nvPicPr>
        <xdr:cNvPr id="21" name="Obraz 20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00300" y="1838325"/>
          <a:ext cx="3609524" cy="2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1600200</xdr:colOff>
      <xdr:row>5</xdr:row>
      <xdr:rowOff>200025</xdr:rowOff>
    </xdr:to>
    <xdr:pic>
      <xdr:nvPicPr>
        <xdr:cNvPr id="22" name="Obraz 21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257300"/>
          <a:ext cx="16002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2781300</xdr:colOff>
      <xdr:row>8</xdr:row>
      <xdr:rowOff>200025</xdr:rowOff>
    </xdr:to>
    <xdr:pic>
      <xdr:nvPicPr>
        <xdr:cNvPr id="23" name="Obraz 22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2238375"/>
          <a:ext cx="27813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53</xdr:row>
      <xdr:rowOff>0</xdr:rowOff>
    </xdr:from>
    <xdr:to>
      <xdr:col>3</xdr:col>
      <xdr:colOff>1200150</xdr:colOff>
      <xdr:row>53</xdr:row>
      <xdr:rowOff>390525</xdr:rowOff>
    </xdr:to>
    <xdr:pic>
      <xdr:nvPicPr>
        <xdr:cNvPr id="24" name="Obraz 23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077950"/>
          <a:ext cx="12001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62</xdr:row>
      <xdr:rowOff>0</xdr:rowOff>
    </xdr:from>
    <xdr:to>
      <xdr:col>3</xdr:col>
      <xdr:colOff>1457325</xdr:colOff>
      <xdr:row>62</xdr:row>
      <xdr:rowOff>390525</xdr:rowOff>
    </xdr:to>
    <xdr:pic>
      <xdr:nvPicPr>
        <xdr:cNvPr id="25" name="Obraz 24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6554450"/>
          <a:ext cx="14573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428625</xdr:colOff>
      <xdr:row>62</xdr:row>
      <xdr:rowOff>180975</xdr:rowOff>
    </xdr:to>
    <xdr:pic>
      <xdr:nvPicPr>
        <xdr:cNvPr id="26" name="Obraz 25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54450"/>
          <a:ext cx="4286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63</xdr:row>
      <xdr:rowOff>0</xdr:rowOff>
    </xdr:from>
    <xdr:to>
      <xdr:col>3</xdr:col>
      <xdr:colOff>1295400</xdr:colOff>
      <xdr:row>63</xdr:row>
      <xdr:rowOff>390525</xdr:rowOff>
    </xdr:to>
    <xdr:pic>
      <xdr:nvPicPr>
        <xdr:cNvPr id="27" name="Obraz 26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6964025"/>
          <a:ext cx="12954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52</xdr:row>
      <xdr:rowOff>0</xdr:rowOff>
    </xdr:from>
    <xdr:to>
      <xdr:col>3</xdr:col>
      <xdr:colOff>1162050</xdr:colOff>
      <xdr:row>52</xdr:row>
      <xdr:rowOff>200025</xdr:rowOff>
    </xdr:to>
    <xdr:pic>
      <xdr:nvPicPr>
        <xdr:cNvPr id="28" name="Obraz 27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3620750"/>
          <a:ext cx="11620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49</xdr:row>
      <xdr:rowOff>0</xdr:rowOff>
    </xdr:from>
    <xdr:to>
      <xdr:col>3</xdr:col>
      <xdr:colOff>1028700</xdr:colOff>
      <xdr:row>49</xdr:row>
      <xdr:rowOff>180975</xdr:rowOff>
    </xdr:to>
    <xdr:pic>
      <xdr:nvPicPr>
        <xdr:cNvPr id="29" name="Obraz 28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3049250"/>
          <a:ext cx="10287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50</xdr:row>
      <xdr:rowOff>0</xdr:rowOff>
    </xdr:from>
    <xdr:to>
      <xdr:col>3</xdr:col>
      <xdr:colOff>1447800</xdr:colOff>
      <xdr:row>51</xdr:row>
      <xdr:rowOff>9525</xdr:rowOff>
    </xdr:to>
    <xdr:pic>
      <xdr:nvPicPr>
        <xdr:cNvPr id="30" name="Obraz 29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3239750"/>
          <a:ext cx="14478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44</xdr:row>
      <xdr:rowOff>0</xdr:rowOff>
    </xdr:from>
    <xdr:to>
      <xdr:col>3</xdr:col>
      <xdr:colOff>1400175</xdr:colOff>
      <xdr:row>44</xdr:row>
      <xdr:rowOff>390525</xdr:rowOff>
    </xdr:to>
    <xdr:pic>
      <xdr:nvPicPr>
        <xdr:cNvPr id="31" name="Obraz 30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1544300"/>
          <a:ext cx="14001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54</xdr:row>
      <xdr:rowOff>0</xdr:rowOff>
    </xdr:from>
    <xdr:to>
      <xdr:col>3</xdr:col>
      <xdr:colOff>1247775</xdr:colOff>
      <xdr:row>54</xdr:row>
      <xdr:rowOff>390525</xdr:rowOff>
    </xdr:to>
    <xdr:pic>
      <xdr:nvPicPr>
        <xdr:cNvPr id="32" name="Obraz 31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4535150"/>
          <a:ext cx="12477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95250</xdr:colOff>
      <xdr:row>58</xdr:row>
      <xdr:rowOff>9526</xdr:rowOff>
    </xdr:from>
    <xdr:to>
      <xdr:col>12</xdr:col>
      <xdr:colOff>114300</xdr:colOff>
      <xdr:row>64</xdr:row>
      <xdr:rowOff>177520</xdr:rowOff>
    </xdr:to>
    <xdr:pic>
      <xdr:nvPicPr>
        <xdr:cNvPr id="33" name="Obraz 3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2677775" y="15687676"/>
          <a:ext cx="3286125" cy="1882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workbookViewId="0"/>
  </sheetViews>
  <sheetFormatPr baseColWidth="10" defaultColWidth="8.83203125" defaultRowHeight="15" x14ac:dyDescent="0.2"/>
  <cols>
    <col min="1" max="1" width="14.83203125" style="4" customWidth="1"/>
    <col min="2" max="3" width="10.5" customWidth="1"/>
    <col min="4" max="4" width="55.83203125" customWidth="1"/>
    <col min="5" max="5" width="49.5" style="2" customWidth="1"/>
    <col min="6" max="6" width="38.33203125" style="3" customWidth="1"/>
    <col min="8" max="8" width="12.5" customWidth="1"/>
  </cols>
  <sheetData>
    <row r="1" spans="1:6" ht="23" x14ac:dyDescent="0.25">
      <c r="A1" s="1" t="s">
        <v>0</v>
      </c>
    </row>
    <row r="3" spans="1:6" ht="16" thickBot="1" x14ac:dyDescent="0.25"/>
    <row r="4" spans="1:6" ht="16" thickBot="1" x14ac:dyDescent="0.25">
      <c r="A4" s="5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8" t="s">
        <v>6</v>
      </c>
    </row>
    <row r="5" spans="1:6" ht="30" x14ac:dyDescent="0.2">
      <c r="A5" s="9" t="s">
        <v>7</v>
      </c>
      <c r="B5" s="10">
        <f>B18+B21+B22+B33+B41+B58</f>
        <v>1072.1210756933115</v>
      </c>
      <c r="C5" s="11" t="s">
        <v>8</v>
      </c>
      <c r="D5" s="11"/>
      <c r="E5" s="12" t="s">
        <v>9</v>
      </c>
      <c r="F5" s="13"/>
    </row>
    <row r="6" spans="1:6" ht="16" x14ac:dyDescent="0.2">
      <c r="A6" s="9" t="s">
        <v>10</v>
      </c>
      <c r="B6" s="10">
        <f>B18+B21+B22</f>
        <v>733.9</v>
      </c>
      <c r="C6" s="11" t="s">
        <v>8</v>
      </c>
      <c r="D6" s="11"/>
      <c r="E6" s="12" t="s">
        <v>11</v>
      </c>
      <c r="F6" s="13"/>
    </row>
    <row r="7" spans="1:6" ht="30" x14ac:dyDescent="0.2">
      <c r="A7" s="14" t="s">
        <v>12</v>
      </c>
      <c r="B7" s="10">
        <f>B18+B21+B22-B33-B41-B45-B55</f>
        <v>-181.49657558353033</v>
      </c>
      <c r="C7" s="11" t="s">
        <v>8</v>
      </c>
      <c r="D7" s="11"/>
      <c r="E7" s="12" t="s">
        <v>13</v>
      </c>
      <c r="F7" s="39" t="s">
        <v>14</v>
      </c>
    </row>
    <row r="8" spans="1:6" ht="31.5" customHeight="1" x14ac:dyDescent="0.2">
      <c r="A8" s="14" t="s">
        <v>15</v>
      </c>
      <c r="B8" s="10">
        <f>B18+B21-B33-B41-B45-B58</f>
        <v>153.75342441646967</v>
      </c>
      <c r="C8" s="11" t="s">
        <v>8</v>
      </c>
      <c r="D8" s="11"/>
      <c r="E8" s="12" t="s">
        <v>16</v>
      </c>
      <c r="F8" s="39"/>
    </row>
    <row r="9" spans="1:6" ht="16" x14ac:dyDescent="0.2">
      <c r="A9" s="9" t="s">
        <v>17</v>
      </c>
      <c r="B9" s="10">
        <f>B18-B21-B22-B33-B41-B45</f>
        <v>266.00342441646967</v>
      </c>
      <c r="C9" s="11" t="s">
        <v>8</v>
      </c>
      <c r="D9" s="11"/>
      <c r="E9" s="12" t="s">
        <v>18</v>
      </c>
      <c r="F9" s="13"/>
    </row>
    <row r="10" spans="1:6" ht="16" x14ac:dyDescent="0.2">
      <c r="A10" s="9" t="s">
        <v>19</v>
      </c>
      <c r="B10" s="10">
        <f>B12/B14</f>
        <v>8.3333333333333339</v>
      </c>
      <c r="C10" s="11" t="s">
        <v>20</v>
      </c>
      <c r="D10" s="11"/>
      <c r="E10" s="12" t="s">
        <v>21</v>
      </c>
      <c r="F10" s="13"/>
    </row>
    <row r="11" spans="1:6" ht="16" x14ac:dyDescent="0.2">
      <c r="A11" s="9" t="s">
        <v>22</v>
      </c>
      <c r="B11" s="10">
        <f>B13/B15</f>
        <v>46.666666666666664</v>
      </c>
      <c r="C11" s="11" t="s">
        <v>20</v>
      </c>
      <c r="D11" s="11"/>
      <c r="E11" s="12" t="s">
        <v>23</v>
      </c>
      <c r="F11" s="13"/>
    </row>
    <row r="12" spans="1:6" ht="16" x14ac:dyDescent="0.2">
      <c r="A12" s="15" t="s">
        <v>24</v>
      </c>
      <c r="B12" s="11">
        <v>250</v>
      </c>
      <c r="C12" s="11" t="s">
        <v>25</v>
      </c>
      <c r="D12" s="11"/>
      <c r="E12" s="16" t="s">
        <v>26</v>
      </c>
      <c r="F12" s="13"/>
    </row>
    <row r="13" spans="1:6" ht="16" x14ac:dyDescent="0.2">
      <c r="A13" s="15" t="s">
        <v>27</v>
      </c>
      <c r="B13" s="11">
        <v>70</v>
      </c>
      <c r="C13" s="11" t="s">
        <v>25</v>
      </c>
      <c r="D13" s="11"/>
      <c r="E13" s="16" t="s">
        <v>28</v>
      </c>
      <c r="F13" s="13"/>
    </row>
    <row r="14" spans="1:6" ht="16" x14ac:dyDescent="0.2">
      <c r="A14" s="15" t="s">
        <v>29</v>
      </c>
      <c r="B14" s="11">
        <v>30</v>
      </c>
      <c r="C14" s="11" t="s">
        <v>30</v>
      </c>
      <c r="D14" s="11"/>
      <c r="E14" s="16" t="s">
        <v>31</v>
      </c>
      <c r="F14" s="13"/>
    </row>
    <row r="15" spans="1:6" ht="32" x14ac:dyDescent="0.2">
      <c r="A15" s="15" t="s">
        <v>32</v>
      </c>
      <c r="B15" s="11">
        <v>1.5</v>
      </c>
      <c r="C15" s="11" t="s">
        <v>30</v>
      </c>
      <c r="D15" s="11"/>
      <c r="E15" s="16" t="s">
        <v>33</v>
      </c>
      <c r="F15" s="13"/>
    </row>
    <row r="16" spans="1:6" x14ac:dyDescent="0.2">
      <c r="A16" s="15" t="s">
        <v>34</v>
      </c>
      <c r="B16" s="11">
        <v>200</v>
      </c>
      <c r="C16" s="11" t="s">
        <v>25</v>
      </c>
      <c r="D16" s="11"/>
      <c r="E16" s="12" t="s">
        <v>35</v>
      </c>
      <c r="F16" s="13"/>
    </row>
    <row r="17" spans="1:11" x14ac:dyDescent="0.2">
      <c r="A17" s="15" t="s">
        <v>36</v>
      </c>
      <c r="B17" s="11">
        <v>160</v>
      </c>
      <c r="C17" s="11" t="s">
        <v>25</v>
      </c>
      <c r="D17" s="11"/>
      <c r="E17" s="12" t="s">
        <v>37</v>
      </c>
      <c r="F17" s="13"/>
    </row>
    <row r="18" spans="1:11" ht="19.5" customHeight="1" x14ac:dyDescent="0.2">
      <c r="A18" s="15" t="s">
        <v>38</v>
      </c>
      <c r="B18" s="11">
        <f>B19*B20</f>
        <v>637.65</v>
      </c>
      <c r="C18" s="11" t="s">
        <v>8</v>
      </c>
      <c r="D18" s="11"/>
      <c r="E18" s="12" t="s">
        <v>39</v>
      </c>
      <c r="F18" s="13"/>
    </row>
    <row r="19" spans="1:11" ht="30" x14ac:dyDescent="0.2">
      <c r="A19" s="15" t="s">
        <v>40</v>
      </c>
      <c r="B19" s="11">
        <v>65</v>
      </c>
      <c r="C19" s="11" t="s">
        <v>41</v>
      </c>
      <c r="D19" s="11"/>
      <c r="E19" s="12" t="s">
        <v>42</v>
      </c>
      <c r="F19" s="13" t="s">
        <v>43</v>
      </c>
    </row>
    <row r="20" spans="1:11" ht="16" thickBot="1" x14ac:dyDescent="0.25">
      <c r="A20" s="15" t="s">
        <v>44</v>
      </c>
      <c r="B20" s="11">
        <v>9.81</v>
      </c>
      <c r="C20" s="11" t="s">
        <v>45</v>
      </c>
      <c r="D20" s="11"/>
      <c r="E20" s="12" t="s">
        <v>46</v>
      </c>
      <c r="F20" s="13"/>
    </row>
    <row r="21" spans="1:11" ht="35.25" customHeight="1" thickBot="1" x14ac:dyDescent="0.3">
      <c r="A21" s="15" t="s">
        <v>47</v>
      </c>
      <c r="B21" s="10">
        <f>B23/B28*(B29-B30)</f>
        <v>31.499999999999982</v>
      </c>
      <c r="C21" s="11" t="s">
        <v>8</v>
      </c>
      <c r="D21" s="11"/>
      <c r="E21" s="12" t="s">
        <v>48</v>
      </c>
      <c r="F21" s="13" t="s">
        <v>49</v>
      </c>
      <c r="H21" s="17" t="s">
        <v>50</v>
      </c>
      <c r="I21" s="18"/>
      <c r="J21" s="19"/>
      <c r="K21" s="20"/>
    </row>
    <row r="22" spans="1:11" ht="35.25" customHeight="1" thickTop="1" x14ac:dyDescent="0.2">
      <c r="A22" s="15" t="s">
        <v>51</v>
      </c>
      <c r="B22" s="10">
        <f>B23/B28*(B30-B31)</f>
        <v>64.75</v>
      </c>
      <c r="C22" s="11" t="s">
        <v>8</v>
      </c>
      <c r="D22" s="11"/>
      <c r="E22" s="12" t="s">
        <v>52</v>
      </c>
      <c r="F22" s="13"/>
      <c r="H22" s="21" t="s">
        <v>53</v>
      </c>
      <c r="I22" s="11" t="s">
        <v>54</v>
      </c>
      <c r="J22" s="11" t="s">
        <v>55</v>
      </c>
      <c r="K22" s="22" t="s">
        <v>56</v>
      </c>
    </row>
    <row r="23" spans="1:11" ht="16" x14ac:dyDescent="0.2">
      <c r="A23" s="15" t="s">
        <v>57</v>
      </c>
      <c r="B23" s="11">
        <v>35</v>
      </c>
      <c r="C23" s="11" t="s">
        <v>58</v>
      </c>
      <c r="D23" s="11"/>
      <c r="E23" s="23" t="s">
        <v>59</v>
      </c>
      <c r="F23" s="13"/>
      <c r="H23" s="24" t="s">
        <v>57</v>
      </c>
      <c r="I23" s="11">
        <v>95</v>
      </c>
      <c r="J23" s="11">
        <v>80</v>
      </c>
      <c r="K23" s="22">
        <v>35</v>
      </c>
    </row>
    <row r="24" spans="1:11" ht="16" x14ac:dyDescent="0.2">
      <c r="A24" s="15" t="s">
        <v>60</v>
      </c>
      <c r="B24" s="11">
        <v>0.8</v>
      </c>
      <c r="C24" s="11" t="s">
        <v>25</v>
      </c>
      <c r="D24" s="11"/>
      <c r="E24" s="23" t="s">
        <v>61</v>
      </c>
      <c r="F24" s="13"/>
      <c r="H24" s="24" t="s">
        <v>60</v>
      </c>
      <c r="I24" s="11">
        <v>0.5</v>
      </c>
      <c r="J24" s="11">
        <v>0.55000000000000004</v>
      </c>
      <c r="K24" s="22">
        <v>0.8</v>
      </c>
    </row>
    <row r="25" spans="1:11" ht="16" x14ac:dyDescent="0.2">
      <c r="A25" s="15" t="s">
        <v>62</v>
      </c>
      <c r="B25" s="11">
        <v>2.65</v>
      </c>
      <c r="C25" s="11" t="s">
        <v>25</v>
      </c>
      <c r="D25" s="11"/>
      <c r="E25" s="23" t="s">
        <v>63</v>
      </c>
      <c r="F25" s="13"/>
      <c r="H25" s="24" t="s">
        <v>62</v>
      </c>
      <c r="I25" s="11">
        <v>2.4</v>
      </c>
      <c r="J25" s="11">
        <v>2.7</v>
      </c>
      <c r="K25" s="22">
        <v>2.65</v>
      </c>
    </row>
    <row r="26" spans="1:11" ht="16" x14ac:dyDescent="0.2">
      <c r="A26" s="15" t="s">
        <v>64</v>
      </c>
      <c r="B26" s="11">
        <v>2.75</v>
      </c>
      <c r="C26" s="11" t="s">
        <v>25</v>
      </c>
      <c r="D26" s="11"/>
      <c r="E26" s="23" t="s">
        <v>65</v>
      </c>
      <c r="F26" s="13"/>
      <c r="H26" s="24" t="s">
        <v>64</v>
      </c>
      <c r="I26" s="11">
        <v>2.8</v>
      </c>
      <c r="J26" s="11">
        <v>2.8</v>
      </c>
      <c r="K26" s="22">
        <v>2.75</v>
      </c>
    </row>
    <row r="27" spans="1:11" ht="16" x14ac:dyDescent="0.2">
      <c r="A27" s="15" t="s">
        <v>66</v>
      </c>
      <c r="B27" s="11">
        <v>63.2</v>
      </c>
      <c r="C27" s="11" t="s">
        <v>67</v>
      </c>
      <c r="D27" s="11"/>
      <c r="E27" s="23" t="s">
        <v>68</v>
      </c>
      <c r="F27" s="13"/>
      <c r="H27" s="24" t="s">
        <v>66</v>
      </c>
      <c r="I27" s="11">
        <v>49</v>
      </c>
      <c r="J27" s="11">
        <v>45.1</v>
      </c>
      <c r="K27" s="22">
        <v>63.2</v>
      </c>
    </row>
    <row r="28" spans="1:11" ht="16" x14ac:dyDescent="0.2">
      <c r="A28" s="15" t="s">
        <v>69</v>
      </c>
      <c r="B28" s="11">
        <v>97</v>
      </c>
      <c r="C28" s="11"/>
      <c r="D28" s="11"/>
      <c r="E28" s="23" t="s">
        <v>70</v>
      </c>
      <c r="F28" s="13"/>
      <c r="H28" s="24" t="s">
        <v>69</v>
      </c>
      <c r="I28" s="11">
        <v>100</v>
      </c>
      <c r="J28" s="11">
        <v>100</v>
      </c>
      <c r="K28" s="22">
        <v>97</v>
      </c>
    </row>
    <row r="29" spans="1:11" ht="16" x14ac:dyDescent="0.2">
      <c r="A29" s="15" t="s">
        <v>71</v>
      </c>
      <c r="B29" s="11">
        <f>B28*(B24+B26)</f>
        <v>344.34999999999997</v>
      </c>
      <c r="C29" s="11" t="s">
        <v>25</v>
      </c>
      <c r="D29" s="11"/>
      <c r="E29" s="23" t="s">
        <v>72</v>
      </c>
      <c r="F29" s="13"/>
      <c r="H29" s="24" t="s">
        <v>71</v>
      </c>
      <c r="I29" s="11">
        <f t="shared" ref="I29:K29" si="0">I28*(I24+I26)</f>
        <v>330</v>
      </c>
      <c r="J29" s="11">
        <f t="shared" si="0"/>
        <v>334.99999999999994</v>
      </c>
      <c r="K29" s="22">
        <f t="shared" si="0"/>
        <v>344.34999999999997</v>
      </c>
    </row>
    <row r="30" spans="1:11" ht="16" x14ac:dyDescent="0.2">
      <c r="A30" s="15" t="s">
        <v>73</v>
      </c>
      <c r="B30" s="11">
        <f>B28*(B25)</f>
        <v>257.05</v>
      </c>
      <c r="C30" s="11" t="s">
        <v>25</v>
      </c>
      <c r="D30" s="11"/>
      <c r="E30" s="23" t="s">
        <v>74</v>
      </c>
      <c r="F30" s="13"/>
      <c r="H30" s="24" t="s">
        <v>73</v>
      </c>
      <c r="I30" s="11">
        <f t="shared" ref="I30:K30" si="1">I28*(I25)</f>
        <v>240</v>
      </c>
      <c r="J30" s="11">
        <f t="shared" si="1"/>
        <v>270</v>
      </c>
      <c r="K30" s="22">
        <f t="shared" si="1"/>
        <v>257.05</v>
      </c>
    </row>
    <row r="31" spans="1:11" ht="16" x14ac:dyDescent="0.2">
      <c r="A31" s="15" t="s">
        <v>75</v>
      </c>
      <c r="B31" s="11">
        <f>B28*B24</f>
        <v>77.600000000000009</v>
      </c>
      <c r="C31" s="11" t="s">
        <v>25</v>
      </c>
      <c r="D31" s="11"/>
      <c r="E31" s="23" t="s">
        <v>76</v>
      </c>
      <c r="F31" s="13"/>
      <c r="H31" s="24" t="s">
        <v>75</v>
      </c>
      <c r="I31" s="11">
        <f t="shared" ref="I31:K31" si="2">I28*I24</f>
        <v>50</v>
      </c>
      <c r="J31" s="11">
        <f t="shared" si="2"/>
        <v>55.000000000000007</v>
      </c>
      <c r="K31" s="22">
        <f t="shared" si="2"/>
        <v>77.600000000000009</v>
      </c>
    </row>
    <row r="32" spans="1:11" ht="16" x14ac:dyDescent="0.2">
      <c r="A32" s="15" t="s">
        <v>77</v>
      </c>
      <c r="B32" s="11">
        <f>B29-B31</f>
        <v>266.74999999999994</v>
      </c>
      <c r="C32" s="11" t="s">
        <v>25</v>
      </c>
      <c r="D32" s="11"/>
      <c r="E32" s="23" t="s">
        <v>78</v>
      </c>
      <c r="F32" s="13"/>
      <c r="H32" s="24" t="s">
        <v>77</v>
      </c>
      <c r="I32" s="11">
        <f t="shared" ref="I32:K32" si="3">I29-I31</f>
        <v>280</v>
      </c>
      <c r="J32" s="11">
        <f t="shared" si="3"/>
        <v>279.99999999999994</v>
      </c>
      <c r="K32" s="22">
        <f t="shared" si="3"/>
        <v>266.74999999999994</v>
      </c>
    </row>
    <row r="33" spans="1:11" ht="34.5" customHeight="1" thickBot="1" x14ac:dyDescent="0.25">
      <c r="A33" s="15" t="s">
        <v>79</v>
      </c>
      <c r="B33" s="10">
        <f>B34+B35+B36*B37*2000/B38</f>
        <v>34.011775693311584</v>
      </c>
      <c r="C33" s="11" t="s">
        <v>8</v>
      </c>
      <c r="D33" s="11"/>
      <c r="E33" s="23" t="s">
        <v>80</v>
      </c>
      <c r="F33" s="13" t="s">
        <v>81</v>
      </c>
      <c r="H33" s="25" t="s">
        <v>82</v>
      </c>
      <c r="I33" s="26">
        <f>I32*I23/I28</f>
        <v>266</v>
      </c>
      <c r="J33" s="26">
        <f t="shared" ref="J33:K33" si="4">J32*J23/J28</f>
        <v>223.99999999999997</v>
      </c>
      <c r="K33" s="27">
        <f t="shared" si="4"/>
        <v>96.249999999999986</v>
      </c>
    </row>
    <row r="34" spans="1:11" ht="16" x14ac:dyDescent="0.2">
      <c r="A34" s="15" t="s">
        <v>83</v>
      </c>
      <c r="B34" s="11">
        <f>2*3.9</f>
        <v>7.8</v>
      </c>
      <c r="C34" s="11" t="s">
        <v>8</v>
      </c>
      <c r="D34" s="11"/>
      <c r="E34" s="23" t="s">
        <v>84</v>
      </c>
      <c r="F34" s="13" t="s">
        <v>85</v>
      </c>
    </row>
    <row r="35" spans="1:11" ht="16" x14ac:dyDescent="0.2">
      <c r="A35" s="15" t="s">
        <v>86</v>
      </c>
      <c r="B35" s="11">
        <f>2*8.4</f>
        <v>16.8</v>
      </c>
      <c r="C35" s="11" t="s">
        <v>8</v>
      </c>
      <c r="D35" s="11"/>
      <c r="E35" s="23" t="s">
        <v>87</v>
      </c>
      <c r="F35" s="13" t="s">
        <v>85</v>
      </c>
    </row>
    <row r="36" spans="1:11" ht="16" x14ac:dyDescent="0.2">
      <c r="A36" s="15" t="s">
        <v>88</v>
      </c>
      <c r="B36" s="11">
        <v>3.0000000000000001E-3</v>
      </c>
      <c r="C36" s="11"/>
      <c r="D36" s="11"/>
      <c r="E36" s="23" t="s">
        <v>89</v>
      </c>
      <c r="F36" s="13" t="s">
        <v>90</v>
      </c>
    </row>
    <row r="37" spans="1:11" ht="16" x14ac:dyDescent="0.2">
      <c r="A37" s="15" t="s">
        <v>91</v>
      </c>
      <c r="B37" s="10">
        <f>(B43+B18)*B40/1000+B55*B39/1000</f>
        <v>96.156975000000003</v>
      </c>
      <c r="C37" s="11" t="s">
        <v>92</v>
      </c>
      <c r="D37" s="11"/>
      <c r="E37" s="23" t="s">
        <v>93</v>
      </c>
      <c r="F37" s="13"/>
    </row>
    <row r="38" spans="1:11" ht="16" x14ac:dyDescent="0.2">
      <c r="A38" s="15" t="s">
        <v>94</v>
      </c>
      <c r="B38" s="11">
        <v>61.3</v>
      </c>
      <c r="C38" s="11" t="s">
        <v>25</v>
      </c>
      <c r="D38" s="11"/>
      <c r="E38" s="23" t="s">
        <v>95</v>
      </c>
      <c r="F38" s="13"/>
    </row>
    <row r="39" spans="1:11" ht="32" x14ac:dyDescent="0.2">
      <c r="A39" s="15" t="s">
        <v>96</v>
      </c>
      <c r="B39" s="11">
        <v>75</v>
      </c>
      <c r="C39" s="11" t="s">
        <v>25</v>
      </c>
      <c r="D39" s="11"/>
      <c r="E39" s="23" t="s">
        <v>97</v>
      </c>
      <c r="F39" s="13"/>
    </row>
    <row r="40" spans="1:11" ht="16" x14ac:dyDescent="0.2">
      <c r="A40" s="15" t="s">
        <v>98</v>
      </c>
      <c r="B40" s="11">
        <f>75/2</f>
        <v>37.5</v>
      </c>
      <c r="C40" s="11" t="s">
        <v>25</v>
      </c>
      <c r="D40" s="11"/>
      <c r="E40" s="23" t="s">
        <v>99</v>
      </c>
      <c r="F40" s="13"/>
    </row>
    <row r="41" spans="1:11" ht="16" x14ac:dyDescent="0.2">
      <c r="A41" s="15" t="s">
        <v>100</v>
      </c>
      <c r="B41" s="28">
        <f>B42*(B18+B43)</f>
        <v>64.209300000000013</v>
      </c>
      <c r="C41" s="11" t="s">
        <v>8</v>
      </c>
      <c r="D41" s="11"/>
      <c r="E41" s="23" t="s">
        <v>101</v>
      </c>
      <c r="F41" s="13"/>
    </row>
    <row r="42" spans="1:11" ht="16" x14ac:dyDescent="0.2">
      <c r="A42" s="29" t="s">
        <v>40</v>
      </c>
      <c r="B42" s="11">
        <v>0.05</v>
      </c>
      <c r="C42" s="11"/>
      <c r="D42" s="11"/>
      <c r="E42" s="23" t="s">
        <v>102</v>
      </c>
      <c r="F42" s="13"/>
    </row>
    <row r="43" spans="1:11" ht="16" x14ac:dyDescent="0.2">
      <c r="A43" s="15" t="s">
        <v>103</v>
      </c>
      <c r="B43" s="28">
        <f>100*B27*B44</f>
        <v>646.53600000000006</v>
      </c>
      <c r="C43" s="11" t="s">
        <v>8</v>
      </c>
      <c r="D43" s="11"/>
      <c r="E43" s="23" t="s">
        <v>104</v>
      </c>
      <c r="F43" s="13"/>
    </row>
    <row r="44" spans="1:11" ht="16" x14ac:dyDescent="0.2">
      <c r="A44" s="15" t="s">
        <v>105</v>
      </c>
      <c r="B44" s="11">
        <v>0.1023</v>
      </c>
      <c r="C44" s="11" t="s">
        <v>106</v>
      </c>
      <c r="D44" s="11"/>
      <c r="E44" s="23" t="s">
        <v>107</v>
      </c>
      <c r="F44" s="13"/>
    </row>
    <row r="45" spans="1:11" ht="36.75" customHeight="1" x14ac:dyDescent="0.2">
      <c r="A45" s="15" t="s">
        <v>108</v>
      </c>
      <c r="B45" s="10">
        <f>B47*B48*2000/(B52*B49)</f>
        <v>177.17549989021867</v>
      </c>
      <c r="C45" s="11" t="s">
        <v>8</v>
      </c>
      <c r="D45" s="11"/>
      <c r="E45" s="23" t="s">
        <v>109</v>
      </c>
      <c r="F45" s="13"/>
    </row>
    <row r="46" spans="1:11" ht="36.75" customHeight="1" x14ac:dyDescent="0.2">
      <c r="A46" s="15" t="s">
        <v>110</v>
      </c>
      <c r="B46" s="11">
        <v>1.5</v>
      </c>
      <c r="C46" s="11" t="s">
        <v>92</v>
      </c>
      <c r="D46" s="11"/>
      <c r="E46" s="23" t="s">
        <v>111</v>
      </c>
      <c r="F46" s="13" t="s">
        <v>112</v>
      </c>
    </row>
    <row r="47" spans="1:11" ht="15" customHeight="1" x14ac:dyDescent="0.2">
      <c r="A47" s="15" t="s">
        <v>113</v>
      </c>
      <c r="B47" s="11">
        <v>0.12</v>
      </c>
      <c r="C47" s="11" t="s">
        <v>92</v>
      </c>
      <c r="D47" s="11"/>
      <c r="E47" s="23" t="s">
        <v>114</v>
      </c>
      <c r="F47" s="13"/>
    </row>
    <row r="48" spans="1:11" ht="15" customHeight="1" x14ac:dyDescent="0.2">
      <c r="A48" s="15" t="s">
        <v>115</v>
      </c>
      <c r="B48" s="11">
        <v>38.33</v>
      </c>
      <c r="C48" s="11"/>
      <c r="D48" s="11"/>
      <c r="E48" s="23" t="s">
        <v>116</v>
      </c>
      <c r="F48" s="13" t="s">
        <v>117</v>
      </c>
    </row>
    <row r="49" spans="1:13" ht="15" customHeight="1" x14ac:dyDescent="0.2">
      <c r="A49" s="29" t="s">
        <v>118</v>
      </c>
      <c r="B49" s="11">
        <v>0.85</v>
      </c>
      <c r="C49" s="11"/>
      <c r="D49" s="11"/>
      <c r="E49" s="23" t="s">
        <v>119</v>
      </c>
      <c r="F49" s="13"/>
    </row>
    <row r="50" spans="1:13" ht="15" customHeight="1" x14ac:dyDescent="0.2">
      <c r="A50" s="15" t="s">
        <v>120</v>
      </c>
      <c r="B50" s="10">
        <f>B46*B48*B49</f>
        <v>48.870749999999994</v>
      </c>
      <c r="C50" s="11" t="s">
        <v>92</v>
      </c>
      <c r="D50" s="11"/>
      <c r="E50" s="23" t="s">
        <v>121</v>
      </c>
      <c r="F50" s="13"/>
    </row>
    <row r="51" spans="1:13" ht="15" customHeight="1" x14ac:dyDescent="0.2">
      <c r="A51" s="15" t="s">
        <v>122</v>
      </c>
      <c r="B51" s="28">
        <f>2000*B50/B52</f>
        <v>1600.1162333835371</v>
      </c>
      <c r="C51" s="11" t="s">
        <v>8</v>
      </c>
      <c r="D51" s="11"/>
      <c r="E51" s="23" t="s">
        <v>123</v>
      </c>
      <c r="F51" s="13"/>
    </row>
    <row r="52" spans="1:13" ht="15" customHeight="1" x14ac:dyDescent="0.2">
      <c r="A52" s="15" t="s">
        <v>124</v>
      </c>
      <c r="B52" s="11">
        <v>61.084000000000003</v>
      </c>
      <c r="C52" s="11" t="s">
        <v>25</v>
      </c>
      <c r="D52" s="11"/>
      <c r="E52" s="23" t="s">
        <v>125</v>
      </c>
      <c r="F52" s="13" t="s">
        <v>126</v>
      </c>
    </row>
    <row r="53" spans="1:13" ht="36" customHeight="1" x14ac:dyDescent="0.2">
      <c r="A53" s="15" t="s">
        <v>127</v>
      </c>
      <c r="B53" s="10">
        <f>B5/B51</f>
        <v>0.67002699761769824</v>
      </c>
      <c r="C53" s="11"/>
      <c r="D53" s="11"/>
      <c r="E53" s="16" t="s">
        <v>128</v>
      </c>
      <c r="F53" s="13"/>
    </row>
    <row r="54" spans="1:13" ht="36" customHeight="1" x14ac:dyDescent="0.2">
      <c r="A54" s="15"/>
      <c r="B54" s="10">
        <f>B48*60*B12/(PI()*B52*B14)</f>
        <v>99.869179633166567</v>
      </c>
      <c r="C54" s="11" t="s">
        <v>129</v>
      </c>
      <c r="D54" s="11"/>
      <c r="E54" s="16" t="s">
        <v>130</v>
      </c>
      <c r="F54" s="13"/>
    </row>
    <row r="55" spans="1:13" ht="39" customHeight="1" thickBot="1" x14ac:dyDescent="0.25">
      <c r="A55" s="15" t="s">
        <v>131</v>
      </c>
      <c r="B55" s="30">
        <f>B56*2000*B57/B60</f>
        <v>640</v>
      </c>
      <c r="C55" s="11" t="s">
        <v>8</v>
      </c>
      <c r="D55" s="11"/>
      <c r="E55" s="23" t="s">
        <v>132</v>
      </c>
      <c r="F55" s="13"/>
    </row>
    <row r="56" spans="1:13" ht="17.25" customHeight="1" thickBot="1" x14ac:dyDescent="0.3">
      <c r="A56" s="15" t="s">
        <v>133</v>
      </c>
      <c r="B56" s="11">
        <v>3</v>
      </c>
      <c r="C56" s="11"/>
      <c r="D56" s="11"/>
      <c r="E56" s="23" t="s">
        <v>134</v>
      </c>
      <c r="F56" s="13"/>
      <c r="H56" s="31" t="s">
        <v>135</v>
      </c>
      <c r="I56" s="18"/>
      <c r="J56" s="18"/>
      <c r="K56" s="18"/>
      <c r="L56" s="18"/>
      <c r="M56" s="32"/>
    </row>
    <row r="57" spans="1:13" ht="17.25" customHeight="1" thickTop="1" x14ac:dyDescent="0.2">
      <c r="A57" s="15" t="s">
        <v>136</v>
      </c>
      <c r="B57" s="11">
        <v>8</v>
      </c>
      <c r="C57" s="11" t="s">
        <v>92</v>
      </c>
      <c r="D57" s="11"/>
      <c r="E57" s="23" t="s">
        <v>137</v>
      </c>
      <c r="F57" s="13"/>
      <c r="H57" s="21" t="s">
        <v>138</v>
      </c>
      <c r="I57" s="11">
        <v>2.5</v>
      </c>
      <c r="J57" s="11">
        <v>3.25</v>
      </c>
      <c r="K57" s="11">
        <v>11.88</v>
      </c>
      <c r="L57" s="11">
        <v>20</v>
      </c>
      <c r="M57" s="22">
        <v>50</v>
      </c>
    </row>
    <row r="58" spans="1:13" ht="16.5" customHeight="1" x14ac:dyDescent="0.2">
      <c r="A58" s="15" t="s">
        <v>139</v>
      </c>
      <c r="B58" s="11">
        <f>B56*2000*I58/B60</f>
        <v>240</v>
      </c>
      <c r="C58" s="11" t="s">
        <v>8</v>
      </c>
      <c r="D58" s="11"/>
      <c r="E58" s="23" t="s">
        <v>140</v>
      </c>
      <c r="F58" s="13"/>
      <c r="H58" s="21" t="s">
        <v>141</v>
      </c>
      <c r="I58" s="11">
        <v>3</v>
      </c>
      <c r="J58" s="28">
        <f>I58+(J57-I57)*(K58-I58)/(K57-I57)</f>
        <v>3.3997867803837951</v>
      </c>
      <c r="K58" s="11">
        <v>8</v>
      </c>
      <c r="L58" s="11">
        <v>8.6999999999999993</v>
      </c>
      <c r="M58" s="22">
        <v>10</v>
      </c>
    </row>
    <row r="59" spans="1:13" ht="17.25" customHeight="1" x14ac:dyDescent="0.2">
      <c r="A59" s="15" t="s">
        <v>142</v>
      </c>
      <c r="B59" s="30">
        <f>B56*2000*10/B60</f>
        <v>800</v>
      </c>
      <c r="C59" s="11" t="s">
        <v>8</v>
      </c>
      <c r="D59" s="11"/>
      <c r="E59" s="23" t="s">
        <v>143</v>
      </c>
      <c r="F59" s="13"/>
      <c r="H59" s="33"/>
      <c r="I59" s="11"/>
      <c r="J59" s="11"/>
      <c r="K59" s="11"/>
      <c r="L59" s="11"/>
      <c r="M59" s="22"/>
    </row>
    <row r="60" spans="1:13" ht="17.25" customHeight="1" x14ac:dyDescent="0.2">
      <c r="A60" s="15" t="s">
        <v>144</v>
      </c>
      <c r="B60" s="11">
        <f>B61*B62</f>
        <v>75</v>
      </c>
      <c r="C60" s="11" t="s">
        <v>25</v>
      </c>
      <c r="D60" s="11"/>
      <c r="E60" s="16" t="s">
        <v>145</v>
      </c>
      <c r="F60" s="13"/>
      <c r="H60" s="33"/>
      <c r="I60" s="11"/>
      <c r="J60" s="11"/>
      <c r="K60" s="11"/>
      <c r="L60" s="11"/>
      <c r="M60" s="22"/>
    </row>
    <row r="61" spans="1:13" ht="18.75" customHeight="1" x14ac:dyDescent="0.2">
      <c r="A61" s="15" t="s">
        <v>146</v>
      </c>
      <c r="B61" s="11">
        <v>2.5</v>
      </c>
      <c r="C61" s="11"/>
      <c r="D61" s="11"/>
      <c r="E61" s="23" t="s">
        <v>147</v>
      </c>
      <c r="F61" s="13"/>
      <c r="H61" s="33"/>
      <c r="I61" s="11"/>
      <c r="J61" s="11"/>
      <c r="K61" s="11"/>
      <c r="L61" s="11"/>
      <c r="M61" s="22"/>
    </row>
    <row r="62" spans="1:13" ht="15.75" customHeight="1" x14ac:dyDescent="0.2">
      <c r="A62" s="15" t="s">
        <v>148</v>
      </c>
      <c r="B62" s="11">
        <v>30</v>
      </c>
      <c r="C62" s="11"/>
      <c r="D62" s="11"/>
      <c r="E62" s="23" t="s">
        <v>149</v>
      </c>
      <c r="F62" s="13"/>
      <c r="H62" s="33"/>
      <c r="I62" s="11"/>
      <c r="J62" s="11"/>
      <c r="K62" s="11"/>
      <c r="L62" s="11"/>
      <c r="M62" s="22"/>
    </row>
    <row r="63" spans="1:13" ht="32.25" customHeight="1" x14ac:dyDescent="0.2">
      <c r="A63" s="33"/>
      <c r="B63" s="10">
        <f>60*B12/(PI()*B60*B14)</f>
        <v>2.1220659078919382</v>
      </c>
      <c r="C63" s="11" t="s">
        <v>129</v>
      </c>
      <c r="D63" s="11"/>
      <c r="E63" s="16" t="s">
        <v>150</v>
      </c>
      <c r="F63" s="13"/>
      <c r="H63" s="33"/>
      <c r="I63" s="11"/>
      <c r="J63" s="11"/>
      <c r="K63" s="11"/>
      <c r="L63" s="11"/>
      <c r="M63" s="22"/>
    </row>
    <row r="64" spans="1:13" ht="33.75" customHeight="1" thickBot="1" x14ac:dyDescent="0.25">
      <c r="A64" s="34"/>
      <c r="B64" s="35">
        <f>60*B13/(PI()*B60*B15)</f>
        <v>11.883569084194852</v>
      </c>
      <c r="C64" s="26" t="s">
        <v>129</v>
      </c>
      <c r="D64" s="26"/>
      <c r="E64" s="36" t="s">
        <v>151</v>
      </c>
      <c r="F64" s="37"/>
      <c r="H64" s="33"/>
      <c r="I64" s="11"/>
      <c r="J64" s="11"/>
      <c r="K64" s="11"/>
      <c r="L64" s="11"/>
      <c r="M64" s="22"/>
    </row>
    <row r="65" spans="8:13" ht="33.75" customHeight="1" thickBot="1" x14ac:dyDescent="0.25">
      <c r="H65" s="38"/>
      <c r="I65" s="26"/>
      <c r="J65" s="26"/>
      <c r="K65" s="26"/>
      <c r="L65" s="26"/>
      <c r="M65" s="27"/>
    </row>
    <row r="66" spans="8:13" ht="33.75" customHeight="1" x14ac:dyDescent="0.2"/>
  </sheetData>
  <mergeCells count="1">
    <mergeCell ref="F7:F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GB1</vt:lpstr>
    </vt:vector>
  </TitlesOfParts>
  <Company>Narodowe Centrum Badań Jądrowych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Wojciechowski</dc:creator>
  <cp:lastModifiedBy>Użytkownik Microsoft Office</cp:lastModifiedBy>
  <dcterms:created xsi:type="dcterms:W3CDTF">2017-09-08T17:21:30Z</dcterms:created>
  <dcterms:modified xsi:type="dcterms:W3CDTF">2017-09-11T19:21:16Z</dcterms:modified>
</cp:coreProperties>
</file>